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autoCompressPictures="0"/>
  <bookViews>
    <workbookView xWindow="0" yWindow="0" windowWidth="15330" windowHeight="6705" tabRatio="917" activeTab="11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RULES" sheetId="22" state="hidden" r:id="rId13"/>
    <sheet name="key activities" sheetId="21" state="hidden" r:id="rId14"/>
    <sheet name="masterlist" sheetId="20" state="hidden" r:id="rId15"/>
  </sheets>
  <definedNames>
    <definedName name="A_case_definition_for_animal_rabies_is_available">Legislation!$C$6:$C$19</definedName>
    <definedName name="ACHIEVEMENTS___ACTIVITIES">Legislation!$C$5:$C$19</definedName>
    <definedName name="COUNTRY">country!$A$1:$A$267</definedName>
    <definedName name="crossstage">'Cross-cutting issues'!$A$5:$A$16</definedName>
    <definedName name="crossstatus">'Cross-cutting issues'!$E$5:$E$16</definedName>
    <definedName name="datastage">'Data coll &amp; ax'!$A$5:$A$22</definedName>
    <definedName name="datastatus">'Data coll &amp; ax'!$E$5:$E$22</definedName>
    <definedName name="dogstage">'Dog popn'!$A$5:$A$9</definedName>
    <definedName name="dogstatus">'Dog popn'!$E$5:$E$9</definedName>
    <definedName name="iecstage">IEC!$A$5:$A$21</definedName>
    <definedName name="iecstatus">IEC!$E$5:$E$21</definedName>
    <definedName name="kp" localSheetId="2">country!#REF!</definedName>
    <definedName name="labstage">'Lab dx'!$A$5:$A$15</definedName>
    <definedName name="labstatus">'Lab dx'!$E$5:$E$15</definedName>
    <definedName name="National_case_definition_for_animal_rabies">Legislation!$B$6:$B$19</definedName>
    <definedName name="OTHER_IMPORTANT_INFORMATION">Legislation!$D$5:$D$19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Area" localSheetId="10">'SUMMARY (Score)'!$A$1:$J$127</definedName>
    <definedName name="_xlnm.Print_Titles" localSheetId="11">'SUMMARY (Stage)'!$A:$A,'SUMMARY (Stage)'!$4:$5</definedName>
    <definedName name="REMARKS">Legislation!$F$5:$F$19</definedName>
    <definedName name="STAGE">Legislation!$A$5:$A$19</definedName>
    <definedName name="STATUS">Legislation!$E$5:$E$19</definedName>
    <definedName name="subcomponent">Legislation!$B$5:$B$19</definedName>
    <definedName name="tbl">Legislation!$A$5:$E$19</definedName>
    <definedName name="u" localSheetId="2">country!#REF!</definedName>
  </definedNames>
  <calcPr calcId="145621" concurrentCalc="0"/>
  <pivotCaches>
    <pivotCache cacheId="0" r:id="rId16"/>
    <pivotCache cacheId="1" r:id="rId17"/>
  </pivotCaches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7" l="1"/>
  <c r="I7" i="7"/>
  <c r="A8" i="15"/>
  <c r="C6" i="15" a="1"/>
  <c r="C6" i="15"/>
  <c r="C7" i="15" a="1"/>
  <c r="C7" i="15"/>
  <c r="C8" i="15" a="1"/>
  <c r="C9" i="15" a="1"/>
  <c r="C10" i="15" a="1"/>
  <c r="C8" i="15"/>
  <c r="C9" i="15"/>
  <c r="C10" i="15"/>
  <c r="D8" i="15"/>
  <c r="F6" i="15"/>
  <c r="F7" i="15"/>
  <c r="F8" i="15"/>
  <c r="F9" i="15"/>
  <c r="F10" i="15"/>
  <c r="G8" i="15"/>
  <c r="I6" i="15" a="1"/>
  <c r="I6" i="15"/>
  <c r="I7" i="15" a="1"/>
  <c r="I7" i="15"/>
  <c r="I8" i="15" a="1"/>
  <c r="I9" i="15" a="1"/>
  <c r="I10" i="15" a="1"/>
  <c r="I8" i="15"/>
  <c r="I9" i="15"/>
  <c r="I10" i="15"/>
  <c r="J8" i="15"/>
  <c r="L6" i="15" a="1"/>
  <c r="L6" i="15"/>
  <c r="L7" i="15" a="1"/>
  <c r="L7" i="15"/>
  <c r="L8" i="15" a="1"/>
  <c r="L9" i="15" a="1"/>
  <c r="L10" i="15" a="1"/>
  <c r="L8" i="15"/>
  <c r="L9" i="15"/>
  <c r="L10" i="15"/>
  <c r="M8" i="15"/>
  <c r="O6" i="15" a="1"/>
  <c r="O6" i="15"/>
  <c r="O7" i="15" a="1"/>
  <c r="O7" i="15"/>
  <c r="O8" i="15" a="1"/>
  <c r="O9" i="15" a="1"/>
  <c r="O10" i="15" a="1"/>
  <c r="O8" i="15"/>
  <c r="O9" i="15"/>
  <c r="O10" i="15"/>
  <c r="P8" i="15"/>
  <c r="R6" i="15" a="1"/>
  <c r="R6" i="15"/>
  <c r="R7" i="15" a="1"/>
  <c r="R7" i="15"/>
  <c r="R8" i="15" a="1"/>
  <c r="R9" i="15" a="1"/>
  <c r="R10" i="15" a="1"/>
  <c r="R8" i="15"/>
  <c r="R9" i="15"/>
  <c r="R10" i="15"/>
  <c r="S8" i="15"/>
  <c r="U6" i="15" a="1"/>
  <c r="U6" i="15"/>
  <c r="U7" i="15" a="1"/>
  <c r="U7" i="15"/>
  <c r="U8" i="15" a="1"/>
  <c r="U9" i="15" a="1"/>
  <c r="U10" i="15" a="1"/>
  <c r="U8" i="15"/>
  <c r="U9" i="15"/>
  <c r="U10" i="15"/>
  <c r="H7" i="7"/>
  <c r="J7" i="7"/>
  <c r="I15" i="7"/>
  <c r="G40" i="15"/>
  <c r="I38" i="15" a="1"/>
  <c r="I38" i="15"/>
  <c r="I39" i="15" a="1"/>
  <c r="I39" i="15"/>
  <c r="I40" i="15" a="1"/>
  <c r="I41" i="15" a="1"/>
  <c r="I42" i="15" a="1"/>
  <c r="I43" i="15" a="1"/>
  <c r="I44" i="15" a="1"/>
  <c r="I45" i="15" a="1"/>
  <c r="I46" i="15" a="1"/>
  <c r="I40" i="15"/>
  <c r="I41" i="15"/>
  <c r="I42" i="15"/>
  <c r="I43" i="15"/>
  <c r="I44" i="15"/>
  <c r="I45" i="15"/>
  <c r="I46" i="15"/>
  <c r="A40" i="15"/>
  <c r="C38" i="15" a="1"/>
  <c r="C38" i="15"/>
  <c r="C39" i="15" a="1"/>
  <c r="C39" i="15"/>
  <c r="C40" i="15" a="1"/>
  <c r="C41" i="15" a="1"/>
  <c r="C42" i="15" a="1"/>
  <c r="C43" i="15" a="1"/>
  <c r="C44" i="15" a="1"/>
  <c r="C45" i="15" a="1"/>
  <c r="C46" i="15" a="1"/>
  <c r="C40" i="15"/>
  <c r="C41" i="15"/>
  <c r="C42" i="15"/>
  <c r="C43" i="15"/>
  <c r="C44" i="15"/>
  <c r="C45" i="15"/>
  <c r="C46" i="15"/>
  <c r="D40" i="15"/>
  <c r="F38" i="15" a="1"/>
  <c r="F39" i="15" a="1"/>
  <c r="F40" i="15" a="1"/>
  <c r="F41" i="15" a="1"/>
  <c r="F42" i="15" a="1"/>
  <c r="F43" i="15" a="1"/>
  <c r="F44" i="15" a="1"/>
  <c r="F45" i="15" a="1"/>
  <c r="F46" i="15" a="1"/>
  <c r="F38" i="15"/>
  <c r="F39" i="15"/>
  <c r="F40" i="15"/>
  <c r="F41" i="15"/>
  <c r="F42" i="15"/>
  <c r="F43" i="15"/>
  <c r="F44" i="15"/>
  <c r="F45" i="15"/>
  <c r="F46" i="15"/>
  <c r="J40" i="15"/>
  <c r="L38" i="15" a="1"/>
  <c r="L39" i="15" a="1"/>
  <c r="L40" i="15" a="1"/>
  <c r="L41" i="15" a="1"/>
  <c r="L42" i="15" a="1"/>
  <c r="L43" i="15" a="1"/>
  <c r="L44" i="15" a="1"/>
  <c r="L45" i="15" a="1"/>
  <c r="L46" i="15" a="1"/>
  <c r="L38" i="15"/>
  <c r="L39" i="15"/>
  <c r="L40" i="15"/>
  <c r="L41" i="15"/>
  <c r="L42" i="15"/>
  <c r="L43" i="15"/>
  <c r="L44" i="15"/>
  <c r="L45" i="15"/>
  <c r="L46" i="15"/>
  <c r="M40" i="15"/>
  <c r="O38" i="15" a="1"/>
  <c r="O39" i="15" a="1"/>
  <c r="O40" i="15" a="1"/>
  <c r="O41" i="15" a="1"/>
  <c r="O42" i="15" a="1"/>
  <c r="O43" i="15" a="1"/>
  <c r="O44" i="15" a="1"/>
  <c r="O45" i="15" a="1"/>
  <c r="O46" i="15" a="1"/>
  <c r="O38" i="15"/>
  <c r="O39" i="15"/>
  <c r="O40" i="15"/>
  <c r="O41" i="15"/>
  <c r="O42" i="15"/>
  <c r="O43" i="15"/>
  <c r="O44" i="15"/>
  <c r="O45" i="15"/>
  <c r="O46" i="15"/>
  <c r="P40" i="15"/>
  <c r="R38" i="15" a="1"/>
  <c r="R39" i="15" a="1"/>
  <c r="R40" i="15" a="1"/>
  <c r="R41" i="15" a="1"/>
  <c r="R42" i="15" a="1"/>
  <c r="R43" i="15" a="1"/>
  <c r="R44" i="15" a="1"/>
  <c r="R45" i="15" a="1"/>
  <c r="R46" i="15" a="1"/>
  <c r="R38" i="15"/>
  <c r="R39" i="15"/>
  <c r="R40" i="15"/>
  <c r="R41" i="15"/>
  <c r="R42" i="15"/>
  <c r="R43" i="15"/>
  <c r="R44" i="15"/>
  <c r="R45" i="15"/>
  <c r="R46" i="15"/>
  <c r="S40" i="15"/>
  <c r="U38" i="15" a="1"/>
  <c r="U39" i="15" a="1"/>
  <c r="U40" i="15" a="1"/>
  <c r="U41" i="15" a="1"/>
  <c r="U42" i="15" a="1"/>
  <c r="U43" i="15" a="1"/>
  <c r="U44" i="15" a="1"/>
  <c r="U45" i="15" a="1"/>
  <c r="U46" i="15" a="1"/>
  <c r="U38" i="15"/>
  <c r="U39" i="15"/>
  <c r="U40" i="15"/>
  <c r="U41" i="15"/>
  <c r="U42" i="15"/>
  <c r="U43" i="15"/>
  <c r="U44" i="15"/>
  <c r="U45" i="15"/>
  <c r="U46" i="15"/>
  <c r="H15" i="7"/>
  <c r="J15" i="7"/>
  <c r="G13" i="15"/>
  <c r="I11" i="15" a="1"/>
  <c r="I11" i="15"/>
  <c r="I12" i="15" a="1"/>
  <c r="I12" i="15"/>
  <c r="I13" i="15" a="1"/>
  <c r="I14" i="15" a="1"/>
  <c r="I15" i="15" a="1"/>
  <c r="I16" i="15" a="1"/>
  <c r="I17" i="15" a="1"/>
  <c r="I18" i="15" a="1"/>
  <c r="I19" i="15" a="1"/>
  <c r="I13" i="15"/>
  <c r="I14" i="15"/>
  <c r="I15" i="15"/>
  <c r="I16" i="15"/>
  <c r="I17" i="15"/>
  <c r="I18" i="15"/>
  <c r="I19" i="15"/>
  <c r="A13" i="15"/>
  <c r="C11" i="15" a="1"/>
  <c r="C11" i="15"/>
  <c r="C12" i="15" a="1"/>
  <c r="C12" i="15"/>
  <c r="C13" i="15" a="1"/>
  <c r="C14" i="15" a="1"/>
  <c r="C15" i="15" a="1"/>
  <c r="C16" i="15" a="1"/>
  <c r="C17" i="15" a="1"/>
  <c r="C18" i="15" a="1"/>
  <c r="C19" i="15" a="1"/>
  <c r="C13" i="15"/>
  <c r="C14" i="15"/>
  <c r="C15" i="15"/>
  <c r="C16" i="15"/>
  <c r="C17" i="15"/>
  <c r="C18" i="15"/>
  <c r="C19" i="15"/>
  <c r="D13" i="15"/>
  <c r="F11" i="15" a="1"/>
  <c r="F12" i="15" a="1"/>
  <c r="F13" i="15" a="1"/>
  <c r="F14" i="15" a="1"/>
  <c r="F15" i="15" a="1"/>
  <c r="F16" i="15" a="1"/>
  <c r="F17" i="15" a="1"/>
  <c r="F18" i="15" a="1"/>
  <c r="F19" i="15" a="1"/>
  <c r="F11" i="15"/>
  <c r="F12" i="15"/>
  <c r="F13" i="15"/>
  <c r="F14" i="15"/>
  <c r="F15" i="15"/>
  <c r="F16" i="15"/>
  <c r="F17" i="15"/>
  <c r="F18" i="15"/>
  <c r="F19" i="15"/>
  <c r="J13" i="15"/>
  <c r="L11" i="15" a="1"/>
  <c r="L12" i="15" a="1"/>
  <c r="L13" i="15" a="1"/>
  <c r="L14" i="15" a="1"/>
  <c r="L15" i="15" a="1"/>
  <c r="L16" i="15" a="1"/>
  <c r="L17" i="15" a="1"/>
  <c r="L18" i="15" a="1"/>
  <c r="L19" i="15" a="1"/>
  <c r="L11" i="15"/>
  <c r="L12" i="15"/>
  <c r="L13" i="15"/>
  <c r="L14" i="15"/>
  <c r="L15" i="15"/>
  <c r="L16" i="15"/>
  <c r="L17" i="15"/>
  <c r="L18" i="15"/>
  <c r="L19" i="15"/>
  <c r="M13" i="15"/>
  <c r="O11" i="15" a="1"/>
  <c r="O12" i="15" a="1"/>
  <c r="O13" i="15" a="1"/>
  <c r="O14" i="15" a="1"/>
  <c r="O15" i="15" a="1"/>
  <c r="O16" i="15" a="1"/>
  <c r="O17" i="15" a="1"/>
  <c r="O18" i="15" a="1"/>
  <c r="O19" i="15" a="1"/>
  <c r="O11" i="15"/>
  <c r="O12" i="15"/>
  <c r="O13" i="15"/>
  <c r="O14" i="15"/>
  <c r="O15" i="15"/>
  <c r="O16" i="15"/>
  <c r="O17" i="15"/>
  <c r="O18" i="15"/>
  <c r="O19" i="15"/>
  <c r="P13" i="15"/>
  <c r="R11" i="15" a="1"/>
  <c r="R12" i="15" a="1"/>
  <c r="R13" i="15" a="1"/>
  <c r="R14" i="15" a="1"/>
  <c r="R15" i="15" a="1"/>
  <c r="R16" i="15" a="1"/>
  <c r="R17" i="15" a="1"/>
  <c r="R18" i="15" a="1"/>
  <c r="R19" i="15" a="1"/>
  <c r="R11" i="15"/>
  <c r="R12" i="15"/>
  <c r="R13" i="15"/>
  <c r="R14" i="15"/>
  <c r="R15" i="15"/>
  <c r="R16" i="15"/>
  <c r="R17" i="15"/>
  <c r="R18" i="15"/>
  <c r="R19" i="15"/>
  <c r="S13" i="15"/>
  <c r="U11" i="15" a="1"/>
  <c r="U12" i="15" a="1"/>
  <c r="U13" i="15" a="1"/>
  <c r="U14" i="15" a="1"/>
  <c r="U15" i="15" a="1"/>
  <c r="U16" i="15" a="1"/>
  <c r="U17" i="15" a="1"/>
  <c r="U18" i="15" a="1"/>
  <c r="U19" i="15" a="1"/>
  <c r="U11" i="15"/>
  <c r="U12" i="15"/>
  <c r="U13" i="15"/>
  <c r="U14" i="15"/>
  <c r="U15" i="15"/>
  <c r="U16" i="15"/>
  <c r="U17" i="15"/>
  <c r="U18" i="15"/>
  <c r="U19" i="15"/>
  <c r="H9" i="7"/>
  <c r="J9" i="7"/>
  <c r="J10" i="7"/>
  <c r="A1" i="7"/>
  <c r="I11" i="7"/>
  <c r="J16" i="7"/>
  <c r="I13" i="7"/>
  <c r="J12" i="7"/>
  <c r="J14" i="7"/>
  <c r="J8" i="7"/>
  <c r="A7" i="15"/>
  <c r="B6" i="15" a="1"/>
  <c r="B6" i="15"/>
  <c r="F1" i="15"/>
  <c r="E1" i="15"/>
  <c r="M22" i="15"/>
  <c r="O27" i="15" a="1"/>
  <c r="O27" i="15"/>
  <c r="S49" i="15"/>
  <c r="S48" i="15"/>
  <c r="S39" i="15"/>
  <c r="S31" i="15"/>
  <c r="S30" i="15"/>
  <c r="S22" i="15"/>
  <c r="S21" i="15"/>
  <c r="S12" i="15"/>
  <c r="S7" i="15"/>
  <c r="P49" i="15"/>
  <c r="R47" i="15" a="1"/>
  <c r="R47" i="15"/>
  <c r="P48" i="15"/>
  <c r="Q48" i="15" a="1"/>
  <c r="Q48" i="15"/>
  <c r="P39" i="15"/>
  <c r="Q38" i="15" a="1"/>
  <c r="Q38" i="15"/>
  <c r="P31" i="15"/>
  <c r="R36" i="15" a="1"/>
  <c r="R36" i="15"/>
  <c r="P30" i="15"/>
  <c r="Q32" i="15" a="1"/>
  <c r="Q32" i="15"/>
  <c r="P22" i="15"/>
  <c r="P21" i="15"/>
  <c r="P12" i="15"/>
  <c r="Q12" i="15" a="1"/>
  <c r="Q12" i="15"/>
  <c r="P7" i="15"/>
  <c r="Q9" i="15" a="1"/>
  <c r="Q9" i="15"/>
  <c r="M49" i="15"/>
  <c r="O50" i="15" a="1"/>
  <c r="O50" i="15"/>
  <c r="M48" i="15"/>
  <c r="N55" i="15" a="1"/>
  <c r="N55" i="15"/>
  <c r="M39" i="15"/>
  <c r="N44" i="15" a="1"/>
  <c r="N44" i="15"/>
  <c r="M31" i="15"/>
  <c r="O36" i="15" a="1"/>
  <c r="O36" i="15"/>
  <c r="M30" i="15"/>
  <c r="N30" i="15" a="1"/>
  <c r="N30" i="15"/>
  <c r="M21" i="15"/>
  <c r="N20" i="15" a="1"/>
  <c r="N20" i="15"/>
  <c r="M12" i="15"/>
  <c r="N12" i="15" a="1"/>
  <c r="N12" i="15"/>
  <c r="M7" i="15"/>
  <c r="N10" i="15" a="1"/>
  <c r="N10" i="15"/>
  <c r="J49" i="15"/>
  <c r="L50" i="15" a="1"/>
  <c r="L50" i="15"/>
  <c r="J48" i="15"/>
  <c r="K52" i="15" a="1"/>
  <c r="K52" i="15"/>
  <c r="J39" i="15"/>
  <c r="K45" i="15" a="1"/>
  <c r="K45" i="15"/>
  <c r="J31" i="15"/>
  <c r="J30" i="15"/>
  <c r="K31" i="15" a="1"/>
  <c r="K31" i="15"/>
  <c r="J22" i="15"/>
  <c r="L22" i="15" a="1"/>
  <c r="L22" i="15"/>
  <c r="J21" i="15"/>
  <c r="K20" i="15" a="1"/>
  <c r="K20" i="15"/>
  <c r="J12" i="15"/>
  <c r="J7" i="15"/>
  <c r="K6" i="15" a="1"/>
  <c r="K6" i="15"/>
  <c r="G49" i="15"/>
  <c r="I48" i="15" a="1"/>
  <c r="I48" i="15"/>
  <c r="G48" i="15"/>
  <c r="H55" i="15" a="1"/>
  <c r="H55" i="15"/>
  <c r="G39" i="15"/>
  <c r="H39" i="15" a="1"/>
  <c r="H39" i="15"/>
  <c r="G31" i="15"/>
  <c r="I36" i="15" a="1"/>
  <c r="I36" i="15"/>
  <c r="G30" i="15"/>
  <c r="H35" i="15" a="1"/>
  <c r="H35" i="15"/>
  <c r="G22" i="15"/>
  <c r="I27" i="15" a="1"/>
  <c r="I27" i="15"/>
  <c r="G21" i="15"/>
  <c r="H25" i="15" a="1"/>
  <c r="H25" i="15"/>
  <c r="G12" i="15"/>
  <c r="H14" i="15" a="1"/>
  <c r="H14" i="15"/>
  <c r="G7" i="15"/>
  <c r="H8" i="15" a="1"/>
  <c r="H8" i="15"/>
  <c r="D49" i="15"/>
  <c r="F53" i="15" a="1"/>
  <c r="F53" i="15"/>
  <c r="D48" i="15"/>
  <c r="E53" i="15" a="1"/>
  <c r="E53" i="15"/>
  <c r="D39" i="15"/>
  <c r="E45" i="15" a="1"/>
  <c r="E45" i="15"/>
  <c r="D31" i="15"/>
  <c r="F33" i="15" a="1"/>
  <c r="F33" i="15"/>
  <c r="D30" i="15"/>
  <c r="E30" i="15" a="1"/>
  <c r="E30" i="15"/>
  <c r="D22" i="15"/>
  <c r="F23" i="15" a="1"/>
  <c r="F23" i="15"/>
  <c r="D21" i="15"/>
  <c r="E21" i="15" a="1"/>
  <c r="E21" i="15"/>
  <c r="D12" i="15"/>
  <c r="E14" i="15" a="1"/>
  <c r="E14" i="15"/>
  <c r="D7" i="15"/>
  <c r="E6" i="15"/>
  <c r="A49" i="15"/>
  <c r="C51" i="15" a="1"/>
  <c r="C51" i="15"/>
  <c r="A48" i="15"/>
  <c r="B55" i="15" a="1"/>
  <c r="B55" i="15"/>
  <c r="A39" i="15"/>
  <c r="B44" i="15" a="1"/>
  <c r="B44" i="15"/>
  <c r="A31" i="15"/>
  <c r="C31" i="15" a="1"/>
  <c r="C31" i="15"/>
  <c r="A30" i="15"/>
  <c r="B29" i="15" a="1"/>
  <c r="B29" i="15"/>
  <c r="A22" i="15"/>
  <c r="C23" i="15" a="1"/>
  <c r="C23" i="15"/>
  <c r="A21" i="15"/>
  <c r="B22" i="15" a="1"/>
  <c r="B22" i="15"/>
  <c r="A12" i="15"/>
  <c r="B18" i="15" a="1"/>
  <c r="B18" i="15"/>
  <c r="C19" i="7"/>
  <c r="B19" i="7"/>
  <c r="C17" i="7"/>
  <c r="B17" i="7"/>
  <c r="C15" i="7"/>
  <c r="B15" i="7"/>
  <c r="C13" i="7"/>
  <c r="B13" i="7"/>
  <c r="C11" i="7"/>
  <c r="B11" i="7"/>
  <c r="C9" i="7"/>
  <c r="B9" i="7"/>
  <c r="C7" i="7"/>
  <c r="B7" i="7"/>
  <c r="R52" i="15" a="1"/>
  <c r="R52" i="15"/>
  <c r="R48" i="15" a="1"/>
  <c r="R48" i="15"/>
  <c r="R55" i="15" a="1"/>
  <c r="R55" i="15"/>
  <c r="R51" i="15" a="1"/>
  <c r="R51" i="15"/>
  <c r="Q49" i="15" a="1"/>
  <c r="Q49" i="15"/>
  <c r="R24" i="15" a="1"/>
  <c r="R24" i="15"/>
  <c r="R26" i="15" a="1"/>
  <c r="R26" i="15"/>
  <c r="R25" i="15" a="1"/>
  <c r="R25" i="15"/>
  <c r="R27" i="15" a="1"/>
  <c r="R27" i="15"/>
  <c r="R22" i="15" a="1"/>
  <c r="R22" i="15"/>
  <c r="R28" i="15" a="1"/>
  <c r="R28" i="15"/>
  <c r="R23" i="15" a="1"/>
  <c r="R23" i="15"/>
  <c r="R20" i="15" a="1"/>
  <c r="R20" i="15"/>
  <c r="R21" i="15" a="1"/>
  <c r="R21" i="15"/>
  <c r="T12" i="15" a="1"/>
  <c r="T12" i="15"/>
  <c r="T16" i="15" a="1"/>
  <c r="T16" i="15"/>
  <c r="T15" i="15" a="1"/>
  <c r="T15" i="15"/>
  <c r="T19" i="15" a="1"/>
  <c r="T19" i="15"/>
  <c r="T11" i="15" a="1"/>
  <c r="T11" i="15"/>
  <c r="T14" i="15" a="1"/>
  <c r="T14" i="15"/>
  <c r="T18" i="15" a="1"/>
  <c r="T18" i="15"/>
  <c r="T13" i="15" a="1"/>
  <c r="T13" i="15"/>
  <c r="T17" i="15" a="1"/>
  <c r="T17" i="15"/>
  <c r="U31" i="15" a="1"/>
  <c r="U31" i="15"/>
  <c r="U35" i="15" a="1"/>
  <c r="U35" i="15"/>
  <c r="U29" i="15" a="1"/>
  <c r="U29" i="15"/>
  <c r="U30" i="15" a="1"/>
  <c r="U30" i="15"/>
  <c r="U34" i="15" a="1"/>
  <c r="U34" i="15"/>
  <c r="U33" i="15" a="1"/>
  <c r="U33" i="15"/>
  <c r="U37" i="15" a="1"/>
  <c r="U37" i="15"/>
  <c r="U32" i="15" a="1"/>
  <c r="U32" i="15"/>
  <c r="U36" i="15" a="1"/>
  <c r="U36" i="15"/>
  <c r="U49" i="15" a="1"/>
  <c r="U49" i="15"/>
  <c r="U53" i="15" a="1"/>
  <c r="U53" i="15"/>
  <c r="U47" i="15" a="1"/>
  <c r="U47" i="15"/>
  <c r="U48" i="15" a="1"/>
  <c r="U48" i="15"/>
  <c r="U52" i="15" a="1"/>
  <c r="U52" i="15"/>
  <c r="U51" i="15" a="1"/>
  <c r="U51" i="15"/>
  <c r="U55" i="15" a="1"/>
  <c r="U55" i="15"/>
  <c r="U50" i="15" a="1"/>
  <c r="U50" i="15"/>
  <c r="U54" i="15" a="1"/>
  <c r="U54" i="15"/>
  <c r="T48" i="15" a="1"/>
  <c r="T48" i="15"/>
  <c r="T52" i="15" a="1"/>
  <c r="T52" i="15"/>
  <c r="T51" i="15" a="1"/>
  <c r="T51" i="15"/>
  <c r="T55" i="15" a="1"/>
  <c r="T55" i="15"/>
  <c r="T47" i="15" a="1"/>
  <c r="T47" i="15"/>
  <c r="T50" i="15" a="1"/>
  <c r="T50" i="15"/>
  <c r="T54" i="15" a="1"/>
  <c r="T54" i="15"/>
  <c r="T49" i="15" a="1"/>
  <c r="T49" i="15"/>
  <c r="T53" i="15" a="1"/>
  <c r="T53" i="15"/>
  <c r="T23" i="15" a="1"/>
  <c r="T23" i="15"/>
  <c r="T27" i="15" a="1"/>
  <c r="T27" i="15"/>
  <c r="T22" i="15" a="1"/>
  <c r="T22" i="15"/>
  <c r="T26" i="15" a="1"/>
  <c r="T26" i="15"/>
  <c r="T21" i="15" a="1"/>
  <c r="T21" i="15"/>
  <c r="T25" i="15" a="1"/>
  <c r="T25" i="15"/>
  <c r="T24" i="15" a="1"/>
  <c r="T24" i="15"/>
  <c r="T28" i="15" a="1"/>
  <c r="T28" i="15"/>
  <c r="T20" i="15" a="1"/>
  <c r="T20" i="15"/>
  <c r="T41" i="15" a="1"/>
  <c r="T41" i="15"/>
  <c r="T45" i="15" a="1"/>
  <c r="T45" i="15"/>
  <c r="T40" i="15" a="1"/>
  <c r="T40" i="15"/>
  <c r="T44" i="15" a="1"/>
  <c r="T44" i="15"/>
  <c r="T39" i="15" a="1"/>
  <c r="T39" i="15"/>
  <c r="T43" i="15" a="1"/>
  <c r="T43" i="15"/>
  <c r="T42" i="15" a="1"/>
  <c r="T42" i="15"/>
  <c r="T46" i="15" a="1"/>
  <c r="T46" i="15"/>
  <c r="T38" i="15" a="1"/>
  <c r="T38" i="15"/>
  <c r="T30" i="15" a="1"/>
  <c r="T30" i="15"/>
  <c r="T34" i="15" a="1"/>
  <c r="T34" i="15"/>
  <c r="T33" i="15" a="1"/>
  <c r="T33" i="15"/>
  <c r="T37" i="15" a="1"/>
  <c r="T37" i="15"/>
  <c r="T29" i="15" a="1"/>
  <c r="T29" i="15"/>
  <c r="T32" i="15" a="1"/>
  <c r="T32" i="15"/>
  <c r="T36" i="15" a="1"/>
  <c r="T36" i="15"/>
  <c r="T31" i="15" a="1"/>
  <c r="T31" i="15"/>
  <c r="T35" i="15" a="1"/>
  <c r="T35" i="15"/>
  <c r="U24" i="15" a="1"/>
  <c r="U24" i="15"/>
  <c r="U28" i="15" a="1"/>
  <c r="U28" i="15"/>
  <c r="U23" i="15" a="1"/>
  <c r="U23" i="15"/>
  <c r="U27" i="15" a="1"/>
  <c r="U27" i="15"/>
  <c r="U22" i="15" a="1"/>
  <c r="U22" i="15"/>
  <c r="U26" i="15" a="1"/>
  <c r="U26" i="15"/>
  <c r="U20" i="15" a="1"/>
  <c r="U20" i="15"/>
  <c r="U21" i="15" a="1"/>
  <c r="U21" i="15"/>
  <c r="U25" i="15" a="1"/>
  <c r="U25" i="15"/>
  <c r="T6" i="15" a="1"/>
  <c r="T6" i="15"/>
  <c r="T7" i="15" a="1"/>
  <c r="T7" i="15"/>
  <c r="T10" i="15" a="1"/>
  <c r="T10" i="15"/>
  <c r="T8" i="15" a="1"/>
  <c r="T8" i="15"/>
  <c r="T9" i="15" a="1"/>
  <c r="T9" i="15"/>
  <c r="Q24" i="15" a="1"/>
  <c r="Q24" i="15"/>
  <c r="Q27" i="15" a="1"/>
  <c r="Q27" i="15"/>
  <c r="Q22" i="15" a="1"/>
  <c r="Q22" i="15"/>
  <c r="Q25" i="15" a="1"/>
  <c r="Q25" i="15"/>
  <c r="Q21" i="15" a="1"/>
  <c r="Q21" i="15"/>
  <c r="Q23" i="15" a="1"/>
  <c r="Q23" i="15"/>
  <c r="Q20" i="15" a="1"/>
  <c r="Q20" i="15"/>
  <c r="Q28" i="15" a="1"/>
  <c r="Q28" i="15"/>
  <c r="Q26" i="15" a="1"/>
  <c r="Q26" i="15"/>
  <c r="Q42" i="15" a="1"/>
  <c r="Q42" i="15"/>
  <c r="Q45" i="15" a="1"/>
  <c r="Q45" i="15"/>
  <c r="Q41" i="15" a="1"/>
  <c r="Q41" i="15"/>
  <c r="N22" i="15" a="1"/>
  <c r="N22" i="15"/>
  <c r="N37" i="15" a="1"/>
  <c r="N37" i="15"/>
  <c r="N28" i="15" a="1"/>
  <c r="N28" i="15"/>
  <c r="N48" i="15" a="1"/>
  <c r="N48" i="15"/>
  <c r="C27" i="15" a="1"/>
  <c r="C27" i="15"/>
  <c r="C21" i="15" a="1"/>
  <c r="C21" i="15"/>
  <c r="C25" i="15" a="1"/>
  <c r="C25" i="15"/>
  <c r="B41" i="15" a="1"/>
  <c r="B41" i="15"/>
  <c r="R54" i="15" a="1"/>
  <c r="R54" i="15"/>
  <c r="R50" i="15" a="1"/>
  <c r="R50" i="15"/>
  <c r="O35" i="15" a="1"/>
  <c r="O35" i="15"/>
  <c r="N13" i="15" a="1"/>
  <c r="N13" i="15"/>
  <c r="C26" i="15" a="1"/>
  <c r="C26" i="15"/>
  <c r="C22" i="15" a="1"/>
  <c r="C22" i="15"/>
  <c r="C20" i="15" a="1"/>
  <c r="C20" i="15"/>
  <c r="C24" i="15" a="1"/>
  <c r="C24" i="15"/>
  <c r="C28" i="15" a="1"/>
  <c r="C28" i="15"/>
  <c r="B21" i="15" a="1"/>
  <c r="B21" i="15"/>
  <c r="B7" i="15" a="1"/>
  <c r="B7" i="15"/>
  <c r="N23" i="15" a="1"/>
  <c r="N23" i="15"/>
  <c r="N7" i="15" a="1"/>
  <c r="N7" i="15"/>
  <c r="N39" i="15" a="1"/>
  <c r="N39" i="15"/>
  <c r="N24" i="15" a="1"/>
  <c r="N24" i="15"/>
  <c r="N46" i="15" a="1"/>
  <c r="N46" i="15"/>
  <c r="N43" i="15" a="1"/>
  <c r="N43" i="15"/>
  <c r="Q53" i="15" a="1"/>
  <c r="Q53" i="15"/>
  <c r="C50" i="15" a="1"/>
  <c r="C50" i="15"/>
  <c r="C35" i="15" a="1"/>
  <c r="C35" i="15"/>
  <c r="B11" i="15" a="1"/>
  <c r="B11" i="15"/>
  <c r="B47" i="15" a="1"/>
  <c r="B47" i="15"/>
  <c r="B32" i="15" a="1"/>
  <c r="B32" i="15"/>
  <c r="B54" i="15" a="1"/>
  <c r="B54" i="15"/>
  <c r="C47" i="15" a="1"/>
  <c r="C47" i="15"/>
  <c r="B13" i="15" a="1"/>
  <c r="B13" i="15"/>
  <c r="B9" i="15" a="1"/>
  <c r="B9" i="15"/>
  <c r="C29" i="15" a="1"/>
  <c r="C29" i="15"/>
  <c r="B53" i="15" a="1"/>
  <c r="B53" i="15"/>
  <c r="B49" i="15" a="1"/>
  <c r="B49" i="15"/>
  <c r="B8" i="15" a="1"/>
  <c r="B8" i="15"/>
  <c r="C33" i="15" a="1"/>
  <c r="C33" i="15"/>
  <c r="B10" i="15" a="1"/>
  <c r="B10" i="15"/>
  <c r="B50" i="15" a="1"/>
  <c r="B50" i="15"/>
  <c r="B34" i="15" a="1"/>
  <c r="B34" i="15"/>
  <c r="H10" i="15" a="1"/>
  <c r="H10" i="15"/>
  <c r="H34" i="15" a="1"/>
  <c r="H34" i="15"/>
  <c r="H36" i="15" a="1"/>
  <c r="H36" i="15"/>
  <c r="H29" i="15" a="1"/>
  <c r="H29" i="15"/>
  <c r="H9" i="15" a="1"/>
  <c r="H9" i="15"/>
  <c r="K38" i="15" a="1"/>
  <c r="K38" i="15"/>
  <c r="K33" i="15" a="1"/>
  <c r="K33" i="15"/>
  <c r="O33" i="15" a="1"/>
  <c r="O33" i="15"/>
  <c r="O34" i="15" a="1"/>
  <c r="O34" i="15"/>
  <c r="N26" i="15" a="1"/>
  <c r="N26" i="15"/>
  <c r="N21" i="15" a="1"/>
  <c r="N21" i="15"/>
  <c r="O20" i="15" a="1"/>
  <c r="O20" i="15"/>
  <c r="N40" i="15" a="1"/>
  <c r="N40" i="15"/>
  <c r="O31" i="15" a="1"/>
  <c r="O31" i="15"/>
  <c r="N49" i="15" a="1"/>
  <c r="N49" i="15"/>
  <c r="O37" i="15" a="1"/>
  <c r="O37" i="15"/>
  <c r="O29" i="15" a="1"/>
  <c r="O29" i="15"/>
  <c r="N27" i="15" a="1"/>
  <c r="N27" i="15"/>
  <c r="N45" i="15" a="1"/>
  <c r="N45" i="15"/>
  <c r="O32" i="15" a="1"/>
  <c r="O32" i="15"/>
  <c r="O23" i="15" a="1"/>
  <c r="O23" i="15"/>
  <c r="O22" i="15" a="1"/>
  <c r="O22" i="15"/>
  <c r="O55" i="15" a="1"/>
  <c r="O55" i="15"/>
  <c r="O49" i="15" a="1"/>
  <c r="O49" i="15"/>
  <c r="O25" i="15" a="1"/>
  <c r="O25" i="15"/>
  <c r="O52" i="15" a="1"/>
  <c r="O52" i="15"/>
  <c r="O53" i="15" a="1"/>
  <c r="O53" i="15"/>
  <c r="O54" i="15" a="1"/>
  <c r="O54" i="15"/>
  <c r="O21" i="15" a="1"/>
  <c r="O21" i="15"/>
  <c r="O48" i="15" a="1"/>
  <c r="O48" i="15"/>
  <c r="N6" i="15" a="1"/>
  <c r="N6" i="15"/>
  <c r="N34" i="15" a="1"/>
  <c r="N34" i="15"/>
  <c r="O24" i="15" a="1"/>
  <c r="O24" i="15"/>
  <c r="N8" i="15" a="1"/>
  <c r="N8" i="15"/>
  <c r="O47" i="15" a="1"/>
  <c r="O47" i="15"/>
  <c r="O28" i="15" a="1"/>
  <c r="O28" i="15"/>
  <c r="Q19" i="15" a="1"/>
  <c r="Q19" i="15"/>
  <c r="Q50" i="15" a="1"/>
  <c r="Q50" i="15"/>
  <c r="Q51" i="15" a="1"/>
  <c r="Q51" i="15"/>
  <c r="R37" i="15" a="1"/>
  <c r="R37" i="15"/>
  <c r="Q55" i="15" a="1"/>
  <c r="Q55" i="15"/>
  <c r="Q14" i="15" a="1"/>
  <c r="Q14" i="15"/>
  <c r="Q36" i="15" a="1"/>
  <c r="Q36" i="15"/>
  <c r="Q31" i="15" a="1"/>
  <c r="Q31" i="15"/>
  <c r="Q18" i="15" a="1"/>
  <c r="Q18" i="15"/>
  <c r="Q54" i="15" a="1"/>
  <c r="Q54" i="15"/>
  <c r="Q30" i="15" a="1"/>
  <c r="Q30" i="15"/>
  <c r="Q47" i="15" a="1"/>
  <c r="Q47" i="15"/>
  <c r="Q52" i="15" a="1"/>
  <c r="Q52" i="15"/>
  <c r="Q37" i="15" a="1"/>
  <c r="Q37" i="15"/>
  <c r="Q34" i="15" a="1"/>
  <c r="Q34" i="15"/>
  <c r="Q17" i="15" a="1"/>
  <c r="Q17" i="15"/>
  <c r="R30" i="15" a="1"/>
  <c r="R30" i="15"/>
  <c r="R31" i="15" a="1"/>
  <c r="R31" i="15"/>
  <c r="Q29" i="15" a="1"/>
  <c r="Q29" i="15"/>
  <c r="Q35" i="15" a="1"/>
  <c r="Q35" i="15"/>
  <c r="Q33" i="15" a="1"/>
  <c r="Q33" i="15"/>
  <c r="Q46" i="15" a="1"/>
  <c r="Q46" i="15"/>
  <c r="R49" i="15" a="1"/>
  <c r="R49" i="15"/>
  <c r="R32" i="15" a="1"/>
  <c r="R32" i="15"/>
  <c r="R34" i="15" a="1"/>
  <c r="R34" i="15"/>
  <c r="R33" i="15" a="1"/>
  <c r="R33" i="15"/>
  <c r="Q40" i="15" a="1"/>
  <c r="Q40" i="15"/>
  <c r="Q15" i="15" a="1"/>
  <c r="Q15" i="15"/>
  <c r="Q39" i="15" a="1"/>
  <c r="Q39" i="15"/>
  <c r="R29" i="15" a="1"/>
  <c r="R29" i="15"/>
  <c r="R53" i="15" a="1"/>
  <c r="R53" i="15"/>
  <c r="R35" i="15" a="1"/>
  <c r="R35" i="15"/>
  <c r="Q43" i="15" a="1"/>
  <c r="Q43" i="15"/>
  <c r="Q13" i="15" a="1"/>
  <c r="Q13" i="15"/>
  <c r="Q44" i="15" a="1"/>
  <c r="Q44" i="15"/>
  <c r="N47" i="15" a="1"/>
  <c r="N47" i="15"/>
  <c r="N54" i="15" a="1"/>
  <c r="N54" i="15"/>
  <c r="N38" i="15" a="1"/>
  <c r="N38" i="15"/>
  <c r="N18" i="15" a="1"/>
  <c r="N18" i="15"/>
  <c r="N41" i="15" a="1"/>
  <c r="N41" i="15"/>
  <c r="N29" i="15" a="1"/>
  <c r="N29" i="15"/>
  <c r="N53" i="15" a="1"/>
  <c r="N53" i="15"/>
  <c r="N36" i="15" a="1"/>
  <c r="N36" i="15"/>
  <c r="N9" i="15" a="1"/>
  <c r="N9" i="15"/>
  <c r="N33" i="15" a="1"/>
  <c r="N33" i="15"/>
  <c r="N50" i="15" a="1"/>
  <c r="N50" i="15"/>
  <c r="N32" i="15" a="1"/>
  <c r="N32" i="15"/>
  <c r="N19" i="15" a="1"/>
  <c r="N19" i="15"/>
  <c r="N14" i="15" a="1"/>
  <c r="N14" i="15"/>
  <c r="N52" i="15" a="1"/>
  <c r="N52" i="15"/>
  <c r="N16" i="15" a="1"/>
  <c r="N16" i="15"/>
  <c r="O30" i="15" a="1"/>
  <c r="O30" i="15"/>
  <c r="N51" i="15" a="1"/>
  <c r="N51" i="15"/>
  <c r="N35" i="15" a="1"/>
  <c r="N35" i="15"/>
  <c r="N25" i="15" a="1"/>
  <c r="N25" i="15"/>
  <c r="O51" i="15" a="1"/>
  <c r="O51" i="15"/>
  <c r="N42" i="15" a="1"/>
  <c r="N42" i="15"/>
  <c r="N31" i="15" a="1"/>
  <c r="N31" i="15"/>
  <c r="O26" i="15" a="1"/>
  <c r="O26" i="15"/>
  <c r="N11" i="15" a="1"/>
  <c r="N11" i="15"/>
  <c r="N15" i="15" a="1"/>
  <c r="N15" i="15"/>
  <c r="N17" i="15" a="1"/>
  <c r="N17" i="15"/>
  <c r="H20" i="15" a="1"/>
  <c r="H20" i="15"/>
  <c r="H42" i="15" a="1"/>
  <c r="H42" i="15"/>
  <c r="K36" i="15" a="1"/>
  <c r="K36" i="15"/>
  <c r="K37" i="15" a="1"/>
  <c r="K37" i="15"/>
  <c r="E18" i="15" a="1"/>
  <c r="E18" i="15"/>
  <c r="E47" i="15" a="1"/>
  <c r="E47" i="15"/>
  <c r="E54" i="15" a="1"/>
  <c r="E54" i="15"/>
  <c r="E34" i="15" a="1"/>
  <c r="E34" i="15"/>
  <c r="E51" i="15" a="1"/>
  <c r="E51" i="15"/>
  <c r="E31" i="15" a="1"/>
  <c r="E31" i="15"/>
  <c r="E33" i="15" a="1"/>
  <c r="E33" i="15"/>
  <c r="E36" i="15" a="1"/>
  <c r="E36" i="15"/>
  <c r="Q6" i="15" a="1"/>
  <c r="Q6" i="15"/>
  <c r="Q7" i="15" a="1"/>
  <c r="Q7" i="15"/>
  <c r="Q10" i="15" a="1"/>
  <c r="Q10" i="15"/>
  <c r="Q16" i="15" a="1"/>
  <c r="Q16" i="15"/>
  <c r="Q11" i="15" a="1"/>
  <c r="Q11" i="15"/>
  <c r="Q8" i="15" a="1"/>
  <c r="Q8" i="15"/>
  <c r="K54" i="15" a="1"/>
  <c r="K54" i="15"/>
  <c r="K43" i="15" a="1"/>
  <c r="K43" i="15"/>
  <c r="K39" i="15" a="1"/>
  <c r="K39" i="15"/>
  <c r="K47" i="15" a="1"/>
  <c r="K47" i="15"/>
  <c r="K51" i="15" a="1"/>
  <c r="K51" i="15"/>
  <c r="L28" i="15" a="1"/>
  <c r="L28" i="15"/>
  <c r="L21" i="15" a="1"/>
  <c r="L21" i="15"/>
  <c r="K41" i="15" a="1"/>
  <c r="K41" i="15"/>
  <c r="L20" i="15" a="1"/>
  <c r="L20" i="15"/>
  <c r="K49" i="15" a="1"/>
  <c r="K49" i="15"/>
  <c r="K42" i="15" a="1"/>
  <c r="K42" i="15"/>
  <c r="K55" i="15" a="1"/>
  <c r="K55" i="15"/>
  <c r="L27" i="15" a="1"/>
  <c r="L27" i="15"/>
  <c r="K53" i="15" a="1"/>
  <c r="K53" i="15"/>
  <c r="K8" i="15" a="1"/>
  <c r="K8" i="15"/>
  <c r="K23" i="15" a="1"/>
  <c r="K23" i="15"/>
  <c r="K26" i="15" a="1"/>
  <c r="K26" i="15"/>
  <c r="K28" i="15" a="1"/>
  <c r="K28" i="15"/>
  <c r="L51" i="15" a="1"/>
  <c r="L51" i="15"/>
  <c r="K21" i="15" a="1"/>
  <c r="K21" i="15"/>
  <c r="K29" i="15" a="1"/>
  <c r="K29" i="15"/>
  <c r="K48" i="15" a="1"/>
  <c r="K48" i="15"/>
  <c r="K30" i="15" a="1"/>
  <c r="K30" i="15"/>
  <c r="K50" i="15" a="1"/>
  <c r="K50" i="15"/>
  <c r="K46" i="15" a="1"/>
  <c r="K46" i="15"/>
  <c r="K40" i="15" a="1"/>
  <c r="K40" i="15"/>
  <c r="K44" i="15" a="1"/>
  <c r="K44" i="15"/>
  <c r="K27" i="15" a="1"/>
  <c r="K27" i="15"/>
  <c r="K22" i="15" a="1"/>
  <c r="K22" i="15"/>
  <c r="K24" i="15" a="1"/>
  <c r="K24" i="15"/>
  <c r="K25" i="15" a="1"/>
  <c r="K25" i="15"/>
  <c r="K9" i="15" a="1"/>
  <c r="K9" i="15"/>
  <c r="L47" i="15" a="1"/>
  <c r="L47" i="15"/>
  <c r="L54" i="15" a="1"/>
  <c r="L54" i="15"/>
  <c r="L55" i="15" a="1"/>
  <c r="L55" i="15"/>
  <c r="K10" i="15" a="1"/>
  <c r="K10" i="15"/>
  <c r="L49" i="15" a="1"/>
  <c r="L49" i="15"/>
  <c r="E13" i="15" a="1"/>
  <c r="E13" i="15"/>
  <c r="E25" i="15" a="1"/>
  <c r="E25" i="15"/>
  <c r="F51" i="15" a="1"/>
  <c r="F51" i="15"/>
  <c r="E12" i="15" a="1"/>
  <c r="E12" i="15"/>
  <c r="E43" i="15" a="1"/>
  <c r="E43" i="15"/>
  <c r="E27" i="15" a="1"/>
  <c r="E27" i="15"/>
  <c r="F21" i="15" a="1"/>
  <c r="F21" i="15"/>
  <c r="E19" i="15" a="1"/>
  <c r="E19" i="15"/>
  <c r="F31" i="15" a="1"/>
  <c r="F31" i="15"/>
  <c r="E11" i="15" a="1"/>
  <c r="E11" i="15"/>
  <c r="F47" i="15" a="1"/>
  <c r="F47" i="15"/>
  <c r="F30" i="15" a="1"/>
  <c r="F30" i="15"/>
  <c r="F32" i="15" a="1"/>
  <c r="F32" i="15"/>
  <c r="E28" i="15" a="1"/>
  <c r="E28" i="15"/>
  <c r="F36" i="15" a="1"/>
  <c r="F36" i="15"/>
  <c r="F27" i="15" a="1"/>
  <c r="F27" i="15"/>
  <c r="E17" i="15" a="1"/>
  <c r="E17" i="15"/>
  <c r="E15" i="15" a="1"/>
  <c r="E15" i="15"/>
  <c r="E40" i="15" a="1"/>
  <c r="E40" i="15"/>
  <c r="E16" i="15" a="1"/>
  <c r="E16" i="15"/>
  <c r="F35" i="15" a="1"/>
  <c r="F35" i="15"/>
  <c r="E23" i="15" a="1"/>
  <c r="E23" i="15"/>
  <c r="F29" i="15" a="1"/>
  <c r="F29" i="15"/>
  <c r="E48" i="15" a="1"/>
  <c r="E48" i="15"/>
  <c r="E49" i="15" a="1"/>
  <c r="E49" i="15"/>
  <c r="E55" i="15" a="1"/>
  <c r="E55" i="15"/>
  <c r="E7" i="15"/>
  <c r="F34" i="15" a="1"/>
  <c r="F34" i="15"/>
  <c r="E20" i="15" a="1"/>
  <c r="E20" i="15"/>
  <c r="E52" i="15" a="1"/>
  <c r="E52" i="15"/>
  <c r="E50" i="15" a="1"/>
  <c r="E50" i="15"/>
  <c r="E24" i="15" a="1"/>
  <c r="E24" i="15"/>
  <c r="F37" i="15" a="1"/>
  <c r="F37" i="15"/>
  <c r="E22" i="15" a="1"/>
  <c r="E22" i="15"/>
  <c r="E26" i="15" a="1"/>
  <c r="E26" i="15"/>
  <c r="F48" i="15" a="1"/>
  <c r="F48" i="15"/>
  <c r="E9" i="15"/>
  <c r="F26" i="15" a="1"/>
  <c r="F26" i="15"/>
  <c r="F22" i="15" a="1"/>
  <c r="F22" i="15"/>
  <c r="F50" i="15" a="1"/>
  <c r="F50" i="15"/>
  <c r="E29" i="15" a="1"/>
  <c r="E29" i="15"/>
  <c r="F24" i="15" a="1"/>
  <c r="F24" i="15"/>
  <c r="F52" i="15" a="1"/>
  <c r="F52" i="15"/>
  <c r="E37" i="15" a="1"/>
  <c r="E37" i="15"/>
  <c r="F20" i="15" a="1"/>
  <c r="F20" i="15"/>
  <c r="E8" i="15"/>
  <c r="E44" i="15" a="1"/>
  <c r="E44" i="15"/>
  <c r="E39" i="15" a="1"/>
  <c r="E39" i="15"/>
  <c r="E46" i="15" a="1"/>
  <c r="E46" i="15"/>
  <c r="E38" i="15" a="1"/>
  <c r="E38" i="15"/>
  <c r="E41" i="15" a="1"/>
  <c r="E41" i="15"/>
  <c r="E32" i="15" a="1"/>
  <c r="E32" i="15"/>
  <c r="F25" i="15" a="1"/>
  <c r="F25" i="15"/>
  <c r="F55" i="15" a="1"/>
  <c r="F55" i="15"/>
  <c r="F54" i="15" a="1"/>
  <c r="F54" i="15"/>
  <c r="F28" i="15" a="1"/>
  <c r="F28" i="15"/>
  <c r="F49" i="15" a="1"/>
  <c r="F49" i="15"/>
  <c r="E10" i="15"/>
  <c r="E42" i="15" a="1"/>
  <c r="E42" i="15"/>
  <c r="E35" i="15" a="1"/>
  <c r="E35" i="15"/>
  <c r="C36" i="15" a="1"/>
  <c r="C36" i="15"/>
  <c r="B19" i="15" a="1"/>
  <c r="B19" i="15"/>
  <c r="B45" i="15" a="1"/>
  <c r="B45" i="15"/>
  <c r="C32" i="15" a="1"/>
  <c r="C32" i="15"/>
  <c r="B51" i="15" a="1"/>
  <c r="B51" i="15"/>
  <c r="C34" i="15" a="1"/>
  <c r="C34" i="15"/>
  <c r="B15" i="15" a="1"/>
  <c r="B15" i="15"/>
  <c r="B43" i="15" a="1"/>
  <c r="B43" i="15"/>
  <c r="B52" i="15" a="1"/>
  <c r="B52" i="15"/>
  <c r="B23" i="15" a="1"/>
  <c r="B23" i="15"/>
  <c r="C37" i="15" a="1"/>
  <c r="C37" i="15"/>
  <c r="C30" i="15" a="1"/>
  <c r="C30" i="15"/>
  <c r="B12" i="15" a="1"/>
  <c r="B12" i="15"/>
  <c r="B40" i="15" a="1"/>
  <c r="B40" i="15"/>
  <c r="B46" i="15" a="1"/>
  <c r="B46" i="15"/>
  <c r="B16" i="15" a="1"/>
  <c r="B16" i="15"/>
  <c r="B48" i="15" a="1"/>
  <c r="B48" i="15"/>
  <c r="B24" i="15" a="1"/>
  <c r="B24" i="15"/>
  <c r="K14" i="15" a="1"/>
  <c r="K14" i="15"/>
  <c r="K11" i="15" a="1"/>
  <c r="K11" i="15"/>
  <c r="K16" i="15" a="1"/>
  <c r="K16" i="15"/>
  <c r="K18" i="15" a="1"/>
  <c r="K18" i="15"/>
  <c r="K17" i="15" a="1"/>
  <c r="K17" i="15"/>
  <c r="K19" i="15" a="1"/>
  <c r="K19" i="15"/>
  <c r="K15" i="15" a="1"/>
  <c r="K15" i="15"/>
  <c r="K12" i="15" a="1"/>
  <c r="K12" i="15"/>
  <c r="K13" i="15" a="1"/>
  <c r="K13" i="15"/>
  <c r="L30" i="15" a="1"/>
  <c r="L30" i="15"/>
  <c r="L31" i="15" a="1"/>
  <c r="L31" i="15"/>
  <c r="L33" i="15" a="1"/>
  <c r="L33" i="15"/>
  <c r="L35" i="15" a="1"/>
  <c r="L35" i="15"/>
  <c r="L34" i="15" a="1"/>
  <c r="L34" i="15"/>
  <c r="L32" i="15" a="1"/>
  <c r="L32" i="15"/>
  <c r="L36" i="15" a="1"/>
  <c r="L36" i="15"/>
  <c r="L37" i="15" a="1"/>
  <c r="L37" i="15"/>
  <c r="L29" i="15" a="1"/>
  <c r="L29" i="15"/>
  <c r="L53" i="15" a="1"/>
  <c r="L53" i="15"/>
  <c r="K34" i="15" a="1"/>
  <c r="K34" i="15"/>
  <c r="K35" i="15" a="1"/>
  <c r="K35" i="15"/>
  <c r="L52" i="15" a="1"/>
  <c r="L52" i="15"/>
  <c r="L48" i="15" a="1"/>
  <c r="L48" i="15"/>
  <c r="K32" i="15" a="1"/>
  <c r="K32" i="15"/>
  <c r="K7" i="15" a="1"/>
  <c r="K7" i="15"/>
  <c r="L24" i="15" a="1"/>
  <c r="L24" i="15"/>
  <c r="L26" i="15" a="1"/>
  <c r="L26" i="15"/>
  <c r="L25" i="15" a="1"/>
  <c r="L25" i="15"/>
  <c r="L23" i="15" a="1"/>
  <c r="L23" i="15"/>
  <c r="B42" i="15" a="1"/>
  <c r="B42" i="15"/>
  <c r="B27" i="15" a="1"/>
  <c r="B27" i="15"/>
  <c r="B14" i="15" a="1"/>
  <c r="B14" i="15"/>
  <c r="B33" i="15" a="1"/>
  <c r="B33" i="15"/>
  <c r="B38" i="15" a="1"/>
  <c r="B38" i="15"/>
  <c r="B17" i="15" a="1"/>
  <c r="B17" i="15"/>
  <c r="B28" i="15" a="1"/>
  <c r="B28" i="15"/>
  <c r="B25" i="15" a="1"/>
  <c r="B25" i="15"/>
  <c r="B31" i="15" a="1"/>
  <c r="B31" i="15"/>
  <c r="B35" i="15" a="1"/>
  <c r="B35" i="15"/>
  <c r="C52" i="15" a="1"/>
  <c r="C52" i="15"/>
  <c r="C54" i="15" a="1"/>
  <c r="C54" i="15"/>
  <c r="C49" i="15" a="1"/>
  <c r="C49" i="15"/>
  <c r="C48" i="15" a="1"/>
  <c r="C48" i="15"/>
  <c r="B26" i="15" a="1"/>
  <c r="B26" i="15"/>
  <c r="B30" i="15" a="1"/>
  <c r="B30" i="15"/>
  <c r="C53" i="15" a="1"/>
  <c r="C53" i="15"/>
  <c r="C55" i="15" a="1"/>
  <c r="C55" i="15"/>
  <c r="B20" i="15" a="1"/>
  <c r="B20" i="15"/>
  <c r="B39" i="15" a="1"/>
  <c r="B39" i="15"/>
  <c r="B37" i="15" a="1"/>
  <c r="B37" i="15"/>
  <c r="B36" i="15" a="1"/>
  <c r="B36" i="15"/>
  <c r="H45" i="15" a="1"/>
  <c r="H45" i="15"/>
  <c r="I54" i="15" a="1"/>
  <c r="I54" i="15"/>
  <c r="H38" i="15" a="1"/>
  <c r="H38" i="15"/>
  <c r="H40" i="15" a="1"/>
  <c r="H40" i="15"/>
  <c r="I22" i="15" a="1"/>
  <c r="I22" i="15"/>
  <c r="H32" i="15" a="1"/>
  <c r="H32" i="15"/>
  <c r="H17" i="15" a="1"/>
  <c r="H17" i="15"/>
  <c r="I51" i="15" a="1"/>
  <c r="I51" i="15"/>
  <c r="H30" i="15" a="1"/>
  <c r="H30" i="15"/>
  <c r="H37" i="15" a="1"/>
  <c r="H37" i="15"/>
  <c r="H51" i="15" a="1"/>
  <c r="H51" i="15"/>
  <c r="H53" i="15" a="1"/>
  <c r="H53" i="15"/>
  <c r="H33" i="15" a="1"/>
  <c r="H33" i="15"/>
  <c r="H31" i="15" a="1"/>
  <c r="H31" i="15"/>
  <c r="H54" i="15" a="1"/>
  <c r="H54" i="15"/>
  <c r="H52" i="15" a="1"/>
  <c r="H52" i="15"/>
  <c r="H13" i="15" a="1"/>
  <c r="H13" i="15"/>
  <c r="I53" i="15" a="1"/>
  <c r="I53" i="15"/>
  <c r="H15" i="15" a="1"/>
  <c r="H15" i="15"/>
  <c r="I50" i="15" a="1"/>
  <c r="I50" i="15"/>
  <c r="H18" i="15" a="1"/>
  <c r="H18" i="15"/>
  <c r="H23" i="15" a="1"/>
  <c r="H23" i="15"/>
  <c r="H41" i="15" a="1"/>
  <c r="H41" i="15"/>
  <c r="I49" i="15" a="1"/>
  <c r="I49" i="15"/>
  <c r="H12" i="15" a="1"/>
  <c r="H12" i="15"/>
  <c r="I47" i="15" a="1"/>
  <c r="I47" i="15"/>
  <c r="H11" i="15" a="1"/>
  <c r="H11" i="15"/>
  <c r="H22" i="15" a="1"/>
  <c r="H22" i="15"/>
  <c r="H21" i="15" a="1"/>
  <c r="H21" i="15"/>
  <c r="H19" i="15" a="1"/>
  <c r="H19" i="15"/>
  <c r="H16" i="15" a="1"/>
  <c r="H16" i="15"/>
  <c r="H44" i="15" a="1"/>
  <c r="H44" i="15"/>
  <c r="I52" i="15" a="1"/>
  <c r="I52" i="15"/>
  <c r="I55" i="15" a="1"/>
  <c r="I55" i="15"/>
  <c r="H6" i="15" a="1"/>
  <c r="H6" i="15"/>
  <c r="H7" i="15" a="1"/>
  <c r="H7" i="15"/>
  <c r="I23" i="15" a="1"/>
  <c r="I23" i="15"/>
  <c r="H28" i="15" a="1"/>
  <c r="H28" i="15"/>
  <c r="H27" i="15" a="1"/>
  <c r="H27" i="15"/>
  <c r="H26" i="15" a="1"/>
  <c r="H26" i="15"/>
  <c r="H24" i="15" a="1"/>
  <c r="H24" i="15"/>
  <c r="I37" i="15" a="1"/>
  <c r="I37" i="15"/>
  <c r="I31" i="15" a="1"/>
  <c r="I31" i="15"/>
  <c r="I30" i="15" a="1"/>
  <c r="I30" i="15"/>
  <c r="I21" i="15" a="1"/>
  <c r="I21" i="15"/>
  <c r="I33" i="15" a="1"/>
  <c r="I33" i="15"/>
  <c r="I20" i="15" a="1"/>
  <c r="I20" i="15"/>
  <c r="H50" i="15" a="1"/>
  <c r="H50" i="15"/>
  <c r="I35" i="15" a="1"/>
  <c r="I35" i="15"/>
  <c r="I29" i="15" a="1"/>
  <c r="I29" i="15"/>
  <c r="I28" i="15" a="1"/>
  <c r="I28" i="15"/>
  <c r="H43" i="15" a="1"/>
  <c r="H43" i="15"/>
  <c r="I25" i="15" a="1"/>
  <c r="I25" i="15"/>
  <c r="I24" i="15" a="1"/>
  <c r="I24" i="15"/>
  <c r="H46" i="15" a="1"/>
  <c r="H46" i="15"/>
  <c r="I26" i="15" a="1"/>
  <c r="I26" i="15"/>
  <c r="I32" i="15" a="1"/>
  <c r="I32" i="15"/>
  <c r="I34" i="15" a="1"/>
  <c r="I34" i="15"/>
  <c r="H48" i="15" a="1"/>
  <c r="H48" i="15"/>
  <c r="H47" i="15" a="1"/>
  <c r="H47" i="15"/>
  <c r="H49" i="15" a="1"/>
  <c r="H49" i="15"/>
  <c r="H17" i="7"/>
  <c r="I17" i="7"/>
  <c r="J17" i="7"/>
  <c r="G7" i="7"/>
  <c r="G13" i="7"/>
  <c r="G11" i="7"/>
  <c r="G15" i="7"/>
  <c r="G9" i="7"/>
  <c r="H11" i="7"/>
  <c r="J11" i="7"/>
  <c r="G17" i="7"/>
  <c r="H13" i="7"/>
  <c r="J13" i="7"/>
  <c r="A3" i="7"/>
</calcChain>
</file>

<file path=xl/sharedStrings.xml><?xml version="1.0" encoding="utf-8"?>
<sst xmlns="http://schemas.openxmlformats.org/spreadsheetml/2006/main" count="879" uniqueCount="503">
  <si>
    <t>STAGE</t>
  </si>
  <si>
    <t>ACHIEVEMENTS / ACTIVITIES</t>
  </si>
  <si>
    <t>STATUS</t>
  </si>
  <si>
    <t>REMARKS</t>
  </si>
  <si>
    <t>Instructions: Enter "0" under Status if No or None, or "1" if Yes</t>
  </si>
  <si>
    <t>Year the framework was reviewed</t>
  </si>
  <si>
    <t>National case definition for animal rabies</t>
  </si>
  <si>
    <t>National case definition for human rabies</t>
  </si>
  <si>
    <t>Legal framework</t>
  </si>
  <si>
    <t>Surveillance</t>
  </si>
  <si>
    <t>Health economic studies</t>
  </si>
  <si>
    <t>Intersectoral coordination</t>
  </si>
  <si>
    <t>Rabies communication plan</t>
  </si>
  <si>
    <t>Rabies awareness campaigns</t>
  </si>
  <si>
    <t>Capacity building</t>
  </si>
  <si>
    <t>Only quality dog vaccines in accordance with OIE standards are being used</t>
  </si>
  <si>
    <t>Dog vaccination campaigns are regularly implemented in response to human cases and animal outbreaks</t>
  </si>
  <si>
    <t>Capacity for outbreak and re-introduction response maintained</t>
  </si>
  <si>
    <t>Dog vaccines</t>
  </si>
  <si>
    <t>Human vaccines</t>
  </si>
  <si>
    <t>Outbreak response and other rabies control activities</t>
  </si>
  <si>
    <t>Dog population studies to determine size, turn-over and accessibility have been conducted in pilot areas</t>
  </si>
  <si>
    <t>Identification of main national stakeholders in rabies prevention and control has been carried out</t>
  </si>
  <si>
    <t>Mechanisms for mobilizing emergency funds in case of an outbreak have been identified</t>
  </si>
  <si>
    <t>Mechanisms for regular intersectoral collaboration are in place and implemented</t>
  </si>
  <si>
    <t>Veterinary border inspection and quarantine measures are fully implemented in accordance with national regulations</t>
  </si>
  <si>
    <t>Intersectoral collaboration</t>
  </si>
  <si>
    <t>National programme and strategy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</si>
  <si>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</si>
  <si>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</si>
  <si>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</si>
  <si>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</si>
  <si>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</si>
  <si>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</si>
  <si>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</si>
  <si>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</si>
  <si>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</si>
  <si>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</si>
  <si>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</si>
  <si>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</si>
  <si>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</si>
  <si>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</si>
  <si>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Methods used to estimate dog population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</si>
  <si>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</si>
  <si>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</si>
  <si>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</si>
  <si>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</si>
  <si>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</si>
  <si>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</si>
  <si>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</si>
  <si>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</si>
  <si>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</si>
  <si>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</si>
  <si>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</si>
  <si>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</si>
  <si>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</si>
  <si>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</si>
  <si>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</si>
  <si>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</si>
  <si>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</si>
  <si>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</si>
  <si>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</si>
  <si>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</si>
  <si>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</si>
  <si>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</si>
  <si>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</si>
  <si>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</si>
  <si>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</si>
  <si>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</si>
  <si>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</si>
  <si>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</si>
  <si>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</si>
  <si>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</si>
  <si>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</si>
  <si>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</si>
  <si>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</si>
  <si>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</si>
  <si>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</si>
  <si>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</si>
  <si>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</si>
  <si>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</si>
  <si>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</si>
  <si>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</si>
  <si>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</si>
  <si>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</si>
  <si>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</si>
  <si>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</si>
  <si>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</si>
  <si>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</si>
  <si>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</si>
  <si>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</si>
  <si>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</si>
  <si>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</si>
  <si>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</si>
  <si>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</si>
  <si>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</si>
  <si>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</si>
  <si>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</si>
  <si>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</si>
  <si>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</si>
  <si>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</si>
  <si>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</si>
  <si>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</si>
  <si>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</si>
  <si>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</si>
  <si>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</si>
  <si>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</si>
  <si>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</si>
  <si>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</si>
  <si>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</si>
  <si>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</si>
  <si>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</si>
  <si>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</si>
  <si>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</si>
  <si>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</si>
  <si>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</si>
  <si>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</si>
  <si>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</si>
  <si>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</si>
  <si>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</si>
  <si>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</si>
  <si>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</si>
  <si>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</si>
  <si>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</si>
  <si>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</si>
  <si>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</si>
  <si>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</si>
  <si>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</si>
  <si>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</si>
  <si>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</si>
  <si>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</si>
  <si>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</si>
  <si>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</si>
  <si>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</si>
  <si>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</si>
  <si>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</si>
  <si>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</si>
  <si>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</si>
  <si>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</si>
  <si>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</si>
  <si>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</si>
  <si>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</si>
  <si>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</si>
  <si>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</si>
  <si>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</si>
  <si>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</si>
  <si>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</si>
  <si>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</si>
  <si>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</si>
  <si>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</si>
  <si>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</si>
  <si>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</si>
  <si>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</si>
  <si>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</si>
  <si>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</si>
  <si>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</si>
  <si>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</si>
  <si>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</si>
  <si>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</si>
  <si>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</si>
  <si>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</si>
  <si>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</si>
  <si>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</si>
  <si>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</si>
  <si>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</si>
  <si>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</si>
  <si>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</si>
  <si>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</si>
  <si>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</si>
  <si>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</si>
  <si>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</si>
  <si>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</si>
  <si>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</si>
  <si>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</si>
  <si>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</si>
  <si>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</si>
  <si>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</si>
  <si>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</si>
  <si>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</si>
  <si>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</si>
  <si>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</si>
  <si>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</si>
  <si>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</si>
  <si>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</si>
  <si>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</si>
  <si>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</si>
  <si>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</si>
  <si>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</si>
  <si>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</si>
  <si>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</si>
  <si>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</si>
  <si>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</si>
  <si>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</si>
  <si>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</si>
  <si>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</si>
  <si>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</si>
  <si>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</si>
  <si>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</si>
  <si>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</si>
  <si>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</si>
  <si>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</si>
  <si>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</si>
  <si>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</si>
  <si>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</si>
  <si>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</si>
  <si>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</si>
  <si>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</si>
  <si>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</si>
  <si>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</si>
  <si>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</si>
  <si>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</si>
  <si>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</si>
  <si>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</si>
  <si>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</si>
  <si>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</si>
  <si>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</si>
  <si>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</si>
  <si>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</si>
  <si>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</si>
  <si>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</si>
  <si>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</si>
  <si>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</si>
  <si>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</si>
  <si>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</si>
  <si>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</si>
  <si>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</si>
  <si>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</si>
  <si>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</si>
  <si>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</si>
  <si>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</si>
  <si>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</si>
  <si>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</si>
  <si>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</si>
  <si>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</si>
  <si>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</si>
  <si>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</si>
  <si>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</si>
  <si>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</si>
  <si>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</si>
  <si>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</si>
  <si>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</si>
  <si>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</si>
  <si>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</si>
  <si>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</si>
  <si>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</si>
  <si>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</si>
  <si>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</si>
  <si>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</si>
  <si>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</si>
  <si>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</si>
  <si>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</si>
  <si>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</si>
  <si>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</si>
  <si>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</si>
  <si>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</si>
  <si>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</si>
  <si>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</si>
  <si>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</si>
  <si>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</si>
  <si>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</si>
  <si>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</si>
  <si>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</si>
  <si>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</si>
  <si>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</si>
  <si>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</si>
  <si>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</si>
  <si>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</si>
  <si>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</si>
  <si>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</si>
  <si>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</si>
  <si>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</si>
  <si>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</si>
  <si>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</si>
  <si>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</si>
  <si>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</si>
  <si>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</si>
  <si>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</si>
  <si>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</si>
  <si>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</si>
  <si>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</si>
  <si>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</si>
  <si>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</si>
  <si>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</si>
  <si>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</si>
  <si>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</si>
  <si>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</si>
  <si>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</si>
  <si>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</si>
  <si>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</si>
  <si>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</si>
  <si>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</si>
  <si>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</si>
  <si>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</si>
  <si>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</si>
  <si>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</si>
  <si>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</si>
  <si>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</si>
  <si>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</si>
  <si>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</si>
  <si>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</si>
  <si>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</si>
  <si>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</si>
  <si>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</si>
  <si>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</si>
  <si>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</si>
  <si>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</si>
  <si>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</si>
  <si>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</si>
  <si>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</si>
  <si>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</si>
  <si>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</si>
  <si>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</si>
  <si>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</si>
  <si>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</si>
  <si>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</si>
  <si>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</si>
  <si>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</si>
  <si>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</si>
  <si>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</si>
  <si>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</si>
  <si>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</si>
  <si>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</si>
  <si>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</si>
  <si>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</si>
  <si>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</si>
  <si>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</si>
  <si>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</si>
  <si>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</si>
  <si>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</si>
  <si>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</si>
  <si>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</si>
  <si>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</si>
  <si>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Number and location of facilities</t>
  </si>
  <si>
    <t>COMPONENT</t>
  </si>
  <si>
    <t>ACTIVITY</t>
  </si>
  <si>
    <t>IEC</t>
  </si>
  <si>
    <t>CRITICAL ACTIVITIES ACCOMPLISHED</t>
  </si>
  <si>
    <t>STAGE COMPLETED?</t>
  </si>
  <si>
    <t>STAGE SUMMARY</t>
  </si>
  <si>
    <t>ACTIVITY SUMMARY</t>
  </si>
  <si>
    <t>A case definition consistent with OIE for animal rabies is available</t>
  </si>
  <si>
    <t>A case definition consistent with WHO for human rabies is available</t>
  </si>
  <si>
    <t>Contacts with an international rabies reference laboratory or international collaborating/reference center are established</t>
  </si>
  <si>
    <t xml:space="preserve">Several rabies suspect samples of animals or humans are submitted to a national laboratory and analysed by an internationally recommended method  </t>
  </si>
  <si>
    <t xml:space="preserve">At least one rabies suspect sample of animals or humans is submitted to an international rabies reference laboratory for confirmation </t>
  </si>
  <si>
    <t xml:space="preserve">The national authority reports at least one confirmed rabies case to WHO or OIE </t>
  </si>
  <si>
    <t xml:space="preserve">Result of rabies sample(s) are shared appropriately with local and national authorities </t>
  </si>
  <si>
    <t>There is a legal framework relevant to rabies prevention and control</t>
  </si>
  <si>
    <t xml:space="preserve">If there is a legal framework, the framework has been reviewed to determine if it is adequate.  </t>
  </si>
  <si>
    <t xml:space="preserve">Rabies is made a notifiable disease in animals </t>
  </si>
  <si>
    <t xml:space="preserve">Rabies is made a notifiable disease in humans </t>
  </si>
  <si>
    <t>Legislation includes compulsory rabies vaccination of dogs or proposed if not in place</t>
  </si>
  <si>
    <t>Legislation includes measures for outbreak response</t>
  </si>
  <si>
    <t xml:space="preserve">Reporting of dog rabies from local to national level </t>
  </si>
  <si>
    <t>Reporting of human rabies from local to national level</t>
  </si>
  <si>
    <t>Dog rabies data analysis capacity at the national level has been established</t>
  </si>
  <si>
    <t>Human rabies data analysis capacity at the national level has been established</t>
  </si>
  <si>
    <t>Dog bite reporting and documentation have been reviewed and data compiled</t>
  </si>
  <si>
    <t>Communications situation and needs (KAP, training needs, stakeholder analysis) assessed at pilot level</t>
  </si>
  <si>
    <t>Target audiences identified for public, professional and advocacy communications (at-risk communities, dog owners, health professionals, at-risk community leaders/authorities, politicians)</t>
  </si>
  <si>
    <t>A rabies communication plan developed for public, professional and advocacy target audiences</t>
  </si>
  <si>
    <t xml:space="preserve">Training or refresher courses on rabies initiated for professionals in human and animal health </t>
  </si>
  <si>
    <t>Dog rabies vaccines are available in the country</t>
  </si>
  <si>
    <t xml:space="preserve">Dog vaccination is initiated in some parts or pilot areas of the country </t>
  </si>
  <si>
    <t xml:space="preserve">Other rabies control activities such as IBCM, dog population management have been implemented (at least in pilot areas) </t>
  </si>
  <si>
    <t>Vaccines for human rabies prophylaxis are available in the country</t>
  </si>
  <si>
    <t>A first assessment on access to PEP (and PreP) has been carried out</t>
  </si>
  <si>
    <t>Stakeholder consultations held within the last 3 years</t>
  </si>
  <si>
    <t>Intersectoral rabies task force, committee or working group established at local or national level and meeting at least twice a year</t>
  </si>
  <si>
    <t>Based on pilot area experience, a short term rabies action plan has been developed and endorsed by relevant stakeholders at local / national level</t>
  </si>
  <si>
    <t>The animal rabies case definition has been reviewed and endorsed (intersectoral approach)</t>
  </si>
  <si>
    <t>The human rabies case definition has been reviewed and endorsed (intersectoral approach)</t>
  </si>
  <si>
    <t xml:space="preserve">Legal frameworks updated to include specifications on compulsory vaccination of dogs and international movement of animals. </t>
  </si>
  <si>
    <t>Establishment of linked human and animal rabies surveillance systems, including agreed SOPs</t>
  </si>
  <si>
    <t xml:space="preserve">Human rabies surveillance systems, including feedback mechanism, coordinated between administrative levels (national, province, district, municipal, etc.) </t>
  </si>
  <si>
    <t>Animal rabies surveillance systems, including feedback mechanism, coordinated between administrative levels (national, province, district, municipal, etc.)</t>
  </si>
  <si>
    <t>Information on the epidemiology of rabies is regularly shared with all stakeholders</t>
  </si>
  <si>
    <t xml:space="preserve">Capacity for sample collection and transportation has been established </t>
  </si>
  <si>
    <t>Routine laboratory diagnosis of animal rabies cases in country</t>
  </si>
  <si>
    <t>WHO pre-qualified human rabies vaccines available and accessible in most parts of the country</t>
  </si>
  <si>
    <t>Supply and access to WHO pre-qualified human rabies vaccines for PrEP for professionals at risk ensured throughout the pilot areas</t>
  </si>
  <si>
    <t>Any use of human biologics not WHO-pre-qualified is being phased out (e.g. nerve tissue vaccines, low quality vaccines)</t>
  </si>
  <si>
    <t>IBCM SOPs agreed, including sharing of information between sectors</t>
  </si>
  <si>
    <t xml:space="preserve">SOPs for the observation of dogs involved in biting incidents available </t>
  </si>
  <si>
    <t>Rabies awareness campaigns including responsible dog ownership have been expanded to more areas</t>
  </si>
  <si>
    <t>Refinement of strategy based on current dog ecology and KAP surveys</t>
  </si>
  <si>
    <t xml:space="preserve">Rabies communication plan reviewed and updated </t>
  </si>
  <si>
    <t>Public awareness and sensitization campaigns are tailored to specific target groups (e.g. community leaders, authorities and health professionals, World Rabies Day Activities).</t>
  </si>
  <si>
    <t>Training of human and animal health personnel has been conducted in most parts of the country</t>
  </si>
  <si>
    <t>A national strategy and programme for rabies prevention, control and eventual elimination has been  drafted and shared with all relevant stakeholders</t>
  </si>
  <si>
    <t xml:space="preserve">Government resources identified and allocated in support of the national rabies control strategy and programme  </t>
  </si>
  <si>
    <t>Contribution and role of  private sector clarified and shared with other stakeholders</t>
  </si>
  <si>
    <t>Access to laboratory diagnosis is available throughout the country  for animal samples (and if possible also for human samples)</t>
  </si>
  <si>
    <t>Regular characterization and analysis of circulating rabies virus variants by a national or international laboratory</t>
  </si>
  <si>
    <t xml:space="preserve">Conduct field investigations for all suspected human rabies cases </t>
  </si>
  <si>
    <t>Epidemiological evidence available to rule out dog- transmitted human rabies cases</t>
  </si>
  <si>
    <t>Conduct field investigations and laboratory confirmation for all suspected rabies outbreaks in dogs</t>
  </si>
  <si>
    <t xml:space="preserve">Initiate collection of local or national health economic data on rabies control to make the case for rabies control investment </t>
  </si>
  <si>
    <t>Expand health economic studies to support further prioritization within the national rabies control programme</t>
  </si>
  <si>
    <t>WHO pre-qualified Pre- and Post- Exposure Prophylaxis available and accessible to high risk and exposed individuals throughout the country</t>
  </si>
  <si>
    <t>Capacity to conduct field investigations and planned outbreak response for animal and human rabies cases is available in the entire country</t>
  </si>
  <si>
    <t>Sufficient facilities for observation of rabies-suspected dogs established and comply with international animal welfare regulations</t>
  </si>
  <si>
    <t>Identification of potential rabies free zones where canine variant cases is absent for at least a 2 year period</t>
  </si>
  <si>
    <t xml:space="preserve">Mass dog vaccination campaigns (at least 70% of the total dog population) are conducted according to the national rabies strategy </t>
  </si>
  <si>
    <t>Post-vaccination surveys in dogs to evaluate vaccination coverage</t>
  </si>
  <si>
    <t>Declaration of  dog-transmitted rabies free zones publicized</t>
  </si>
  <si>
    <t>Promote responsible dog ownership together with rabies awareness campaigns</t>
  </si>
  <si>
    <t xml:space="preserve">Strengthen public awareness campaigns to advocate dog vaccination to leaders and authorities </t>
  </si>
  <si>
    <t>Communication plan on rabies elimination is implemented</t>
  </si>
  <si>
    <t xml:space="preserve">Refinement of national strategy based on monitoring and evaluation </t>
  </si>
  <si>
    <t>Maintenance of existing surveillance activities, including ongoing laboratory investigation, for all suspected cases in dogs in the country</t>
  </si>
  <si>
    <t>Maintenance of existing surveillance activities for all suspected cases in humans in the country</t>
  </si>
  <si>
    <t>Epidemiological data from routine surveillance of all animals (working animals, livestock and wildlife) used to refine the national rabies strategy</t>
  </si>
  <si>
    <t>Dog vaccination campaigns are maintained in zones where dog rabies is still present or where otherwise justified (e.g. risk of introduction)</t>
  </si>
  <si>
    <t>Freedom from dog-transmitted rabies in the entire country verified by the absence of canine variant cases for at least a 2 year period</t>
  </si>
  <si>
    <t>Measures to prevent re-introduction applied in designated rabies free zones including dialogue with neighbouring countries.</t>
  </si>
  <si>
    <t>Emergency response/contingency plan to any case of animal rabies involving a canine variant developed in preparation of the post elimination phase</t>
  </si>
  <si>
    <t>Declaration of national dog-transmitted rabies freedom publicized</t>
  </si>
  <si>
    <t>Awareness programmes focusing on maintenance of freedom from dog and dog transmitted human rabies</t>
  </si>
  <si>
    <t>On-going surveillance system for rabies maintained</t>
  </si>
  <si>
    <t>On-going laboratory investigation of all suspected cases in domestic and wild animal species in the country</t>
  </si>
  <si>
    <t xml:space="preserve">Dog population management and responsible dog ownership campaigns are continued </t>
  </si>
  <si>
    <t xml:space="preserve">Based on risk assessment, dog vaccination campaigns are maintained where justified </t>
  </si>
  <si>
    <t>Modified protocols for PEP administration for rabies free areas implemented</t>
  </si>
  <si>
    <t>Specimen referral</t>
  </si>
  <si>
    <t>Laboratory capacity and testing</t>
  </si>
  <si>
    <r>
      <t xml:space="preserve">Legislation
</t>
    </r>
    <r>
      <rPr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 xml:space="preserve">  Total number of activities = 15</t>
    </r>
  </si>
  <si>
    <r>
      <t xml:space="preserve">Data collection and analysis
</t>
    </r>
    <r>
      <rPr>
        <i/>
        <sz val="11"/>
        <color theme="1"/>
        <rFont val="Calibri"/>
        <family val="2"/>
        <scheme val="minor"/>
      </rPr>
      <t xml:space="preserve">    Total number of activities = 18</t>
    </r>
  </si>
  <si>
    <r>
      <t xml:space="preserve">Prevention and Control
</t>
    </r>
    <r>
      <rPr>
        <i/>
        <sz val="11"/>
        <color theme="1"/>
        <rFont val="Calibri"/>
        <family val="2"/>
        <scheme val="minor"/>
      </rPr>
      <t xml:space="preserve">    Total number of activities = 25</t>
    </r>
  </si>
  <si>
    <r>
      <t xml:space="preserve">Dog population related issues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5</t>
    </r>
  </si>
  <si>
    <t>Total number of activities = 12
Critical activities = 7</t>
  </si>
  <si>
    <t>Total number of activities = 27
Critical activities = 8</t>
  </si>
  <si>
    <t>Total number of activities = 18
Critical activities = 9</t>
  </si>
  <si>
    <t>Total number of activities = 7
Critical activities = 7</t>
  </si>
  <si>
    <t>LEG</t>
  </si>
  <si>
    <t>LAB</t>
  </si>
  <si>
    <t>DCA</t>
  </si>
  <si>
    <t>CCI</t>
  </si>
  <si>
    <t>PCO</t>
  </si>
  <si>
    <t xml:space="preserve">Public awareness activities on rabies prevention, dog bite management and dog vaccination initiated (e.g. WRD)  </t>
  </si>
  <si>
    <t xml:space="preserve">Rabies diagnostic capacity has been established in at least one national laboratory </t>
  </si>
  <si>
    <t>Total number of activities = 7
Critical activities = 4</t>
  </si>
  <si>
    <t>SARE Stage Keys for Stage Progression</t>
  </si>
  <si>
    <t>Dog population management and responsible dog ownership campaigns are continued</t>
  </si>
  <si>
    <t>Based on risk assessment, dog vaccination campaigns are maintained where justified</t>
  </si>
  <si>
    <t>IEC/DPO</t>
  </si>
  <si>
    <t>leg</t>
  </si>
  <si>
    <t>dca</t>
  </si>
  <si>
    <t>lab</t>
  </si>
  <si>
    <t>iec</t>
  </si>
  <si>
    <t>pco</t>
  </si>
  <si>
    <t>dpo</t>
  </si>
  <si>
    <t>cci</t>
  </si>
  <si>
    <t>Row Labels</t>
  </si>
  <si>
    <t>Grand Total</t>
  </si>
  <si>
    <t>Count of ACTIVITY</t>
  </si>
  <si>
    <r>
      <t xml:space="preserve">Cross-cutting issues
</t>
    </r>
    <r>
      <rPr>
        <sz val="11"/>
        <color theme="1"/>
        <rFont val="Calibri"/>
        <family val="2"/>
        <scheme val="minor"/>
      </rPr>
      <t xml:space="preserve">       </t>
    </r>
    <r>
      <rPr>
        <i/>
        <sz val="11"/>
        <color theme="1"/>
        <rFont val="Calibri"/>
        <family val="2"/>
        <scheme val="minor"/>
      </rPr>
      <t xml:space="preserve"> Total number of activities = 12</t>
    </r>
  </si>
  <si>
    <t>RULES FOR STAGE PROGRESSION</t>
  </si>
  <si>
    <t>RULE</t>
  </si>
  <si>
    <t>SCORE</t>
  </si>
  <si>
    <t>All critical activities (see hidden Key Activities worksheet) accomplished</t>
  </si>
  <si>
    <t>Not all but at least 1 critical activity checked, AND 50% +1 of all activities checked</t>
  </si>
  <si>
    <t>+ 0.5</t>
  </si>
  <si>
    <t>+ 1</t>
  </si>
  <si>
    <t>+ 0</t>
  </si>
  <si>
    <t>No critical activity accomplished</t>
  </si>
  <si>
    <t>At least 1 critical activity checked, AND 50% or less of all activities checked</t>
  </si>
  <si>
    <t>Year of last reported rabies case</t>
  </si>
  <si>
    <t>Year studies were conducted</t>
  </si>
  <si>
    <t>Stakeholders involved</t>
  </si>
  <si>
    <t>Name of national laboratory;
Laboratory test used</t>
  </si>
  <si>
    <t>Year of most recent specimen referral;
Name of international rabies reference laboratory</t>
  </si>
  <si>
    <t>Name and location of laboratories</t>
  </si>
  <si>
    <t>Names and locations of laboratories</t>
  </si>
  <si>
    <t>Main messages, intended audience and areas covered</t>
  </si>
  <si>
    <t>Intended audience and areas covered</t>
  </si>
  <si>
    <t>Areas covered</t>
  </si>
  <si>
    <t>Agencies of trainees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</si>
  <si>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</si>
  <si>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Method of assessment</t>
  </si>
  <si>
    <t>Areas available and accessible</t>
  </si>
  <si>
    <t>Briefly describe post-vaccination survey</t>
  </si>
  <si>
    <t>Agencies of personnel involved in field investigations and outbreak response</t>
  </si>
  <si>
    <t>Names of rabies free zones</t>
  </si>
  <si>
    <t>Agencies involved</t>
  </si>
  <si>
    <t>Agencies of stakeholders involved</t>
  </si>
  <si>
    <t>Agencies of members of task force</t>
  </si>
  <si>
    <t>PENDING</t>
  </si>
  <si>
    <t>Total number of activities = 32
Critical activities = 10</t>
  </si>
  <si>
    <t>50% or more of the critical activities checked</t>
  </si>
  <si>
    <r>
      <t xml:space="preserve">Laboratory diagnosis
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Total number of activities = 11</t>
    </r>
  </si>
  <si>
    <r>
      <t xml:space="preserve">Information, Education, Communication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17</t>
    </r>
  </si>
  <si>
    <t>Count of COMPONENT</t>
  </si>
  <si>
    <t>LEG/IEC</t>
  </si>
  <si>
    <t>dr nnaemka ogugua</t>
  </si>
  <si>
    <t>vet consultant nspca</t>
  </si>
  <si>
    <t>nspca</t>
  </si>
  <si>
    <t>dr nnaemeka ogugua</t>
  </si>
  <si>
    <t>7 days. Ministry of agric/health</t>
  </si>
  <si>
    <t>s0uth AFRICA</t>
  </si>
  <si>
    <t>NATINAL VET RESARCH ISTITUTE V0M</t>
  </si>
  <si>
    <t>MINISRY OF AGRIC/health</t>
  </si>
  <si>
    <t>ministry of agric/health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</si>
</sst>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3409]dd\ mmmm\,\ 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Symbol"/>
      <family val="1"/>
      <charset val="2"/>
    </font>
    <font>
      <b/>
      <sz val="26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02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0" xfId="0" applyBorder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0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9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top" wrapText="1"/>
    </xf>
    <xf numFmtId="0" fontId="18" fillId="0" borderId="0" xfId="0" applyFont="1" applyAlignment="1">
      <alignment vertical="top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5" fillId="0" borderId="14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9" fillId="0" borderId="13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20" fillId="0" borderId="0" xfId="0" applyFont="1" applyAlignment="1">
      <alignment horizontal="left" vertical="center" indent="2"/>
    </xf>
    <xf numFmtId="0" fontId="17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 vertical="top"/>
    </xf>
    <xf numFmtId="0" fontId="3" fillId="2" borderId="13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0" xfId="0" applyFont="1"/>
    <xf numFmtId="0" fontId="22" fillId="0" borderId="0" xfId="0" applyFont="1"/>
    <xf numFmtId="0" fontId="17" fillId="0" borderId="21" xfId="0" applyFont="1" applyBorder="1" applyAlignment="1">
      <alignment wrapText="1"/>
    </xf>
    <xf numFmtId="0" fontId="17" fillId="0" borderId="14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1" xfId="0" applyFont="1" applyBorder="1"/>
    <xf numFmtId="0" fontId="17" fillId="0" borderId="24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0" fillId="0" borderId="0" xfId="0" applyFont="1" applyFill="1" applyAlignment="1" applyProtection="1">
      <alignment horizontal="left" vertical="top" wrapText="1"/>
      <protection locked="0"/>
    </xf>
    <xf numFmtId="0" fontId="0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25" fillId="3" borderId="35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/>
    </xf>
    <xf numFmtId="0" fontId="0" fillId="0" borderId="42" xfId="0" applyFont="1" applyBorder="1" applyAlignment="1">
      <alignment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25" fillId="3" borderId="3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9" fillId="0" borderId="3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4" fillId="0" borderId="0" xfId="0" applyFont="1"/>
    <xf numFmtId="0" fontId="0" fillId="0" borderId="0" xfId="0" applyFill="1" applyBorder="1"/>
    <xf numFmtId="0" fontId="5" fillId="0" borderId="0" xfId="0" applyFont="1" applyFill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24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0" fillId="0" borderId="0" xfId="0" pivotButton="1"/>
    <xf numFmtId="0" fontId="0" fillId="0" borderId="0" xfId="0" applyNumberFormat="1"/>
    <xf numFmtId="0" fontId="23" fillId="0" borderId="43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0" fillId="0" borderId="0" xfId="0" applyFill="1"/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 applyAlignment="1"/>
    <xf numFmtId="0" fontId="28" fillId="0" borderId="0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wrapText="1"/>
    </xf>
    <xf numFmtId="0" fontId="17" fillId="0" borderId="2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center" vertical="center" wrapText="1"/>
      <protection locked="0"/>
    </xf>
    <xf numFmtId="0" fontId="0" fillId="4" borderId="45" xfId="0" applyFill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left" vertical="top" wrapText="1"/>
    </xf>
    <xf numFmtId="0" fontId="0" fillId="0" borderId="50" xfId="0" applyFont="1" applyBorder="1" applyAlignment="1">
      <alignment horizontal="left" vertical="top" wrapText="1"/>
    </xf>
    <xf numFmtId="0" fontId="0" fillId="4" borderId="51" xfId="0" applyFill="1" applyBorder="1" applyAlignment="1" applyProtection="1">
      <alignment horizontal="center" vertical="center" wrapText="1"/>
      <protection locked="0"/>
    </xf>
    <xf numFmtId="0" fontId="0" fillId="4" borderId="49" xfId="0" applyFill="1" applyBorder="1" applyAlignment="1" applyProtection="1">
      <alignment horizontal="left" vertical="center" wrapText="1"/>
      <protection locked="0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left" vertical="top" wrapText="1"/>
    </xf>
    <xf numFmtId="0" fontId="0" fillId="0" borderId="54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center" vertical="center" wrapText="1"/>
      <protection locked="0"/>
    </xf>
    <xf numFmtId="0" fontId="0" fillId="4" borderId="53" xfId="0" applyFill="1" applyBorder="1" applyAlignment="1" applyProtection="1">
      <alignment horizontal="left" vertical="center" wrapText="1"/>
      <protection locked="0"/>
    </xf>
    <xf numFmtId="0" fontId="0" fillId="0" borderId="46" xfId="0" applyFont="1" applyBorder="1" applyAlignment="1">
      <alignment horizontal="left" vertical="top" wrapText="1"/>
    </xf>
    <xf numFmtId="0" fontId="5" fillId="0" borderId="45" xfId="0" applyFont="1" applyFill="1" applyBorder="1" applyAlignment="1">
      <alignment horizontal="left" vertical="top" wrapText="1"/>
    </xf>
    <xf numFmtId="0" fontId="5" fillId="0" borderId="49" xfId="0" applyFont="1" applyFill="1" applyBorder="1" applyAlignment="1">
      <alignment horizontal="left" vertical="top" wrapText="1"/>
    </xf>
    <xf numFmtId="0" fontId="5" fillId="0" borderId="53" xfId="0" applyFont="1" applyFill="1" applyBorder="1" applyAlignment="1">
      <alignment horizontal="left" vertical="top" wrapText="1"/>
    </xf>
    <xf numFmtId="0" fontId="2" fillId="0" borderId="50" xfId="0" applyFont="1" applyBorder="1" applyAlignment="1">
      <alignment horizontal="left" vertical="top" wrapText="1"/>
    </xf>
    <xf numFmtId="0" fontId="2" fillId="0" borderId="54" xfId="0" applyFont="1" applyBorder="1" applyAlignment="1">
      <alignment horizontal="left" vertical="top" wrapText="1"/>
    </xf>
    <xf numFmtId="0" fontId="0" fillId="0" borderId="51" xfId="0" applyFont="1" applyBorder="1" applyAlignment="1">
      <alignment horizontal="left" vertical="top" wrapText="1"/>
    </xf>
    <xf numFmtId="0" fontId="5" fillId="0" borderId="47" xfId="0" applyFont="1" applyBorder="1" applyAlignment="1">
      <alignment horizontal="center" vertical="center"/>
    </xf>
    <xf numFmtId="0" fontId="0" fillId="0" borderId="47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left" vertical="center" wrapText="1"/>
      <protection locked="0"/>
    </xf>
    <xf numFmtId="0" fontId="5" fillId="0" borderId="51" xfId="0" applyFont="1" applyBorder="1" applyAlignment="1">
      <alignment horizontal="center" vertical="center"/>
    </xf>
    <xf numFmtId="0" fontId="0" fillId="4" borderId="51" xfId="0" applyFill="1" applyBorder="1" applyAlignment="1" applyProtection="1">
      <alignment horizontal="left" vertical="center" wrapText="1"/>
      <protection locked="0"/>
    </xf>
    <xf numFmtId="0" fontId="5" fillId="0" borderId="55" xfId="0" applyFont="1" applyBorder="1" applyAlignment="1">
      <alignment horizontal="center" vertical="center"/>
    </xf>
    <xf numFmtId="0" fontId="0" fillId="0" borderId="55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left" vertical="center" wrapText="1"/>
      <protection locked="0"/>
    </xf>
    <xf numFmtId="0" fontId="0" fillId="0" borderId="47" xfId="0" applyFont="1" applyBorder="1" applyAlignment="1">
      <alignment horizontal="left" vertical="top"/>
    </xf>
    <xf numFmtId="0" fontId="0" fillId="0" borderId="51" xfId="0" applyFont="1" applyBorder="1" applyAlignment="1">
      <alignment horizontal="left" vertical="top"/>
    </xf>
    <xf numFmtId="0" fontId="4" fillId="0" borderId="51" xfId="0" applyFont="1" applyBorder="1" applyAlignment="1">
      <alignment horizontal="left" vertical="top" wrapText="1"/>
    </xf>
    <xf numFmtId="0" fontId="5" fillId="0" borderId="47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left" vertical="top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47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55" xfId="0" applyFont="1" applyBorder="1" applyAlignment="1">
      <alignment horizontal="left" vertical="top"/>
    </xf>
    <xf numFmtId="0" fontId="5" fillId="0" borderId="44" xfId="0" applyFont="1" applyFill="1" applyBorder="1" applyAlignment="1">
      <alignment horizontal="center" vertical="center" wrapText="1"/>
    </xf>
    <xf numFmtId="0" fontId="5" fillId="4" borderId="47" xfId="0" applyFont="1" applyFill="1" applyBorder="1" applyAlignment="1" applyProtection="1">
      <alignment horizontal="center" vertical="center" wrapText="1"/>
      <protection locked="0"/>
    </xf>
    <xf numFmtId="0" fontId="5" fillId="4" borderId="45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 wrapText="1"/>
    </xf>
    <xf numFmtId="0" fontId="5" fillId="4" borderId="51" xfId="0" applyFont="1" applyFill="1" applyBorder="1" applyAlignment="1" applyProtection="1">
      <alignment horizontal="center" vertical="center" wrapText="1"/>
      <protection locked="0"/>
    </xf>
    <xf numFmtId="0" fontId="5" fillId="4" borderId="49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/>
    </xf>
    <xf numFmtId="0" fontId="5" fillId="4" borderId="55" xfId="0" applyFont="1" applyFill="1" applyBorder="1" applyAlignment="1" applyProtection="1">
      <alignment horizontal="center" vertical="center" wrapText="1"/>
      <protection locked="0"/>
    </xf>
    <xf numFmtId="0" fontId="5" fillId="4" borderId="53" xfId="0" applyFont="1" applyFill="1" applyBorder="1" applyAlignment="1" applyProtection="1">
      <alignment horizontal="left" vertical="center" wrapText="1"/>
      <protection locked="0"/>
    </xf>
    <xf numFmtId="0" fontId="24" fillId="0" borderId="45" xfId="0" applyFont="1" applyBorder="1" applyAlignment="1">
      <alignment vertical="center" wrapText="1"/>
    </xf>
    <xf numFmtId="0" fontId="24" fillId="0" borderId="49" xfId="0" applyFont="1" applyBorder="1" applyAlignment="1">
      <alignment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wrapText="1"/>
    </xf>
    <xf numFmtId="0" fontId="5" fillId="0" borderId="53" xfId="0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46" xfId="0" applyFont="1" applyBorder="1" applyAlignment="1">
      <alignment vertical="top"/>
    </xf>
    <xf numFmtId="0" fontId="0" fillId="0" borderId="50" xfId="0" applyFont="1" applyBorder="1" applyAlignment="1">
      <alignment vertical="top" wrapText="1"/>
    </xf>
    <xf numFmtId="0" fontId="0" fillId="0" borderId="50" xfId="0" applyFont="1" applyBorder="1" applyAlignment="1">
      <alignment vertical="top"/>
    </xf>
    <xf numFmtId="0" fontId="0" fillId="0" borderId="54" xfId="0" applyFont="1" applyBorder="1" applyAlignment="1">
      <alignment vertical="top"/>
    </xf>
    <xf numFmtId="164" fontId="0" fillId="0" borderId="54" xfId="1" applyFont="1" applyBorder="1" applyAlignment="1">
      <alignment vertical="top"/>
    </xf>
    <xf numFmtId="0" fontId="0" fillId="0" borderId="0" xfId="0" applyFont="1"/>
    <xf numFmtId="0" fontId="0" fillId="0" borderId="44" xfId="0" applyBorder="1" applyAlignment="1">
      <alignment horizontal="center" vertical="center"/>
    </xf>
    <xf numFmtId="0" fontId="6" fillId="0" borderId="44" xfId="0" applyFont="1" applyBorder="1"/>
    <xf numFmtId="0" fontId="0" fillId="0" borderId="48" xfId="0" applyBorder="1" applyAlignment="1">
      <alignment horizontal="center" vertical="center"/>
    </xf>
    <xf numFmtId="0" fontId="6" fillId="0" borderId="48" xfId="0" applyFont="1" applyBorder="1"/>
    <xf numFmtId="0" fontId="0" fillId="0" borderId="48" xfId="0" applyBorder="1"/>
    <xf numFmtId="0" fontId="0" fillId="0" borderId="52" xfId="0" applyBorder="1" applyAlignment="1">
      <alignment horizontal="center" vertical="center"/>
    </xf>
    <xf numFmtId="0" fontId="0" fillId="0" borderId="52" xfId="0" applyBorder="1"/>
    <xf numFmtId="0" fontId="0" fillId="0" borderId="46" xfId="0" applyFont="1" applyBorder="1"/>
    <xf numFmtId="0" fontId="0" fillId="0" borderId="50" xfId="0" applyFont="1" applyBorder="1"/>
    <xf numFmtId="0" fontId="0" fillId="0" borderId="54" xfId="0" applyFont="1" applyBorder="1"/>
    <xf numFmtId="0" fontId="0" fillId="0" borderId="44" xfId="0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vertical="center" wrapText="1"/>
    </xf>
    <xf numFmtId="0" fontId="0" fillId="0" borderId="46" xfId="0" applyFont="1" applyFill="1" applyBorder="1" applyAlignment="1">
      <alignment horizontal="left" vertical="center" wrapText="1"/>
    </xf>
    <xf numFmtId="0" fontId="0" fillId="0" borderId="48" xfId="0" applyFont="1" applyBorder="1" applyAlignment="1">
      <alignment horizontal="center" vertical="center"/>
    </xf>
    <xf numFmtId="0" fontId="26" fillId="0" borderId="0" xfId="0" applyFont="1"/>
    <xf numFmtId="0" fontId="10" fillId="6" borderId="44" xfId="0" applyFont="1" applyFill="1" applyBorder="1" applyAlignment="1">
      <alignment vertical="top" wrapText="1"/>
    </xf>
    <xf numFmtId="0" fontId="10" fillId="0" borderId="56" xfId="0" applyFont="1" applyBorder="1" applyAlignment="1">
      <alignment vertical="top" wrapText="1"/>
    </xf>
    <xf numFmtId="0" fontId="12" fillId="0" borderId="46" xfId="0" applyFont="1" applyBorder="1" applyAlignment="1">
      <alignment vertical="top" wrapText="1"/>
    </xf>
    <xf numFmtId="0" fontId="10" fillId="0" borderId="46" xfId="0" applyFont="1" applyBorder="1" applyAlignment="1">
      <alignment vertical="top" wrapText="1"/>
    </xf>
    <xf numFmtId="0" fontId="10" fillId="6" borderId="57" xfId="0" applyFont="1" applyFill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47" xfId="0" applyFont="1" applyBorder="1" applyAlignment="1">
      <alignment vertical="top" wrapText="1"/>
    </xf>
    <xf numFmtId="0" fontId="11" fillId="6" borderId="48" xfId="0" applyFont="1" applyFill="1" applyBorder="1" applyAlignment="1">
      <alignment vertical="top" wrapText="1"/>
    </xf>
    <xf numFmtId="0" fontId="10" fillId="0" borderId="58" xfId="0" applyFont="1" applyBorder="1" applyAlignment="1">
      <alignment vertical="top" wrapText="1"/>
    </xf>
    <xf numFmtId="0" fontId="12" fillId="0" borderId="50" xfId="0" applyFont="1" applyBorder="1" applyAlignment="1">
      <alignment vertical="top" wrapText="1"/>
    </xf>
    <xf numFmtId="0" fontId="10" fillId="0" borderId="50" xfId="0" applyFont="1" applyBorder="1" applyAlignment="1">
      <alignment vertical="top" wrapText="1"/>
    </xf>
    <xf numFmtId="0" fontId="10" fillId="6" borderId="59" xfId="0" applyFont="1" applyFill="1" applyBorder="1" applyAlignment="1">
      <alignment vertical="top" wrapText="1"/>
    </xf>
    <xf numFmtId="0" fontId="10" fillId="0" borderId="49" xfId="0" applyFont="1" applyBorder="1" applyAlignment="1">
      <alignment vertical="top" wrapText="1"/>
    </xf>
    <xf numFmtId="0" fontId="10" fillId="6" borderId="48" xfId="0" applyFont="1" applyFill="1" applyBorder="1" applyAlignment="1">
      <alignment vertical="top" wrapText="1"/>
    </xf>
    <xf numFmtId="0" fontId="10" fillId="0" borderId="51" xfId="0" applyFont="1" applyBorder="1" applyAlignment="1">
      <alignment vertical="top" wrapText="1"/>
    </xf>
    <xf numFmtId="0" fontId="10" fillId="6" borderId="52" xfId="0" applyFont="1" applyFill="1" applyBorder="1" applyAlignment="1">
      <alignment vertical="top" wrapText="1"/>
    </xf>
    <xf numFmtId="0" fontId="10" fillId="0" borderId="60" xfId="0" applyFont="1" applyBorder="1" applyAlignment="1">
      <alignment vertical="top" wrapText="1"/>
    </xf>
    <xf numFmtId="0" fontId="12" fillId="0" borderId="54" xfId="0" applyFont="1" applyBorder="1" applyAlignment="1">
      <alignment vertical="top" wrapText="1"/>
    </xf>
    <xf numFmtId="0" fontId="10" fillId="0" borderId="54" xfId="0" applyFont="1" applyBorder="1" applyAlignment="1">
      <alignment vertical="top" wrapText="1"/>
    </xf>
    <xf numFmtId="0" fontId="10" fillId="6" borderId="61" xfId="0" applyFont="1" applyFill="1" applyBorder="1" applyAlignment="1">
      <alignment vertical="top" wrapText="1"/>
    </xf>
    <xf numFmtId="0" fontId="10" fillId="0" borderId="53" xfId="0" applyFont="1" applyBorder="1" applyAlignment="1">
      <alignment vertical="top" wrapText="1"/>
    </xf>
    <xf numFmtId="0" fontId="10" fillId="0" borderId="55" xfId="0" applyFont="1" applyBorder="1" applyAlignment="1">
      <alignment vertical="top" wrapText="1"/>
    </xf>
    <xf numFmtId="0" fontId="12" fillId="0" borderId="47" xfId="0" applyFont="1" applyBorder="1" applyAlignment="1">
      <alignment vertical="top" wrapText="1"/>
    </xf>
    <xf numFmtId="0" fontId="12" fillId="0" borderId="51" xfId="0" applyFont="1" applyBorder="1" applyAlignment="1">
      <alignment vertical="top" wrapText="1"/>
    </xf>
    <xf numFmtId="0" fontId="12" fillId="0" borderId="55" xfId="0" applyFont="1" applyBorder="1" applyAlignment="1">
      <alignment vertical="top" wrapText="1"/>
    </xf>
    <xf numFmtId="0" fontId="10" fillId="0" borderId="56" xfId="0" applyFont="1" applyFill="1" applyBorder="1" applyAlignment="1">
      <alignment vertical="top" wrapText="1"/>
    </xf>
    <xf numFmtId="0" fontId="10" fillId="0" borderId="58" xfId="0" applyFont="1" applyFill="1" applyBorder="1" applyAlignment="1">
      <alignment vertical="top" wrapText="1"/>
    </xf>
    <xf numFmtId="0" fontId="10" fillId="0" borderId="60" xfId="0" applyFont="1" applyFill="1" applyBorder="1" applyAlignment="1">
      <alignment vertical="top" wrapText="1"/>
    </xf>
    <xf numFmtId="0" fontId="0" fillId="4" borderId="47" xfId="0" applyFont="1" applyFill="1" applyBorder="1" applyAlignment="1" applyProtection="1">
      <alignment horizontal="center" vertical="center" wrapText="1"/>
      <protection locked="0"/>
    </xf>
    <xf numFmtId="0" fontId="0" fillId="4" borderId="45" xfId="0" applyFont="1" applyFill="1" applyBorder="1" applyAlignment="1" applyProtection="1">
      <alignment horizontal="left" vertical="center" wrapText="1"/>
      <protection locked="0"/>
    </xf>
    <xf numFmtId="0" fontId="29" fillId="0" borderId="43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left" vertical="top" wrapText="1"/>
      <protection locked="0"/>
    </xf>
    <xf numFmtId="164" fontId="0" fillId="0" borderId="51" xfId="1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center" vertical="top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44" xfId="0" applyFont="1" applyBorder="1" applyAlignment="1">
      <alignment horizontal="left" vertical="top" wrapText="1"/>
    </xf>
    <xf numFmtId="0" fontId="6" fillId="0" borderId="48" xfId="0" applyFont="1" applyBorder="1" applyAlignment="1">
      <alignment horizontal="left" vertical="top" wrapText="1"/>
    </xf>
    <xf numFmtId="0" fontId="6" fillId="0" borderId="5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 wrapText="1"/>
    </xf>
    <xf numFmtId="0" fontId="6" fillId="0" borderId="51" xfId="0" applyFont="1" applyBorder="1" applyAlignment="1">
      <alignment horizontal="left" vertical="top" wrapText="1"/>
    </xf>
    <xf numFmtId="0" fontId="6" fillId="0" borderId="55" xfId="0" applyFont="1" applyBorder="1" applyAlignment="1">
      <alignment horizontal="left" vertical="top" wrapText="1"/>
    </xf>
    <xf numFmtId="0" fontId="7" fillId="0" borderId="44" xfId="0" applyFont="1" applyBorder="1" applyAlignment="1">
      <alignment horizontal="left" vertical="top" wrapText="1"/>
    </xf>
    <xf numFmtId="0" fontId="7" fillId="0" borderId="48" xfId="0" applyFont="1" applyBorder="1" applyAlignment="1">
      <alignment horizontal="left" vertical="top" wrapText="1"/>
    </xf>
    <xf numFmtId="0" fontId="7" fillId="0" borderId="52" xfId="0" applyFont="1" applyBorder="1" applyAlignment="1">
      <alignment horizontal="left" vertical="top" wrapText="1"/>
    </xf>
    <xf numFmtId="0" fontId="0" fillId="0" borderId="2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18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23" fillId="7" borderId="18" xfId="0" applyFont="1" applyFill="1" applyBorder="1" applyAlignment="1">
      <alignment horizontal="center" vertical="center"/>
    </xf>
    <xf numFmtId="0" fontId="23" fillId="7" borderId="19" xfId="0" applyFont="1" applyFill="1" applyBorder="1" applyAlignment="1">
      <alignment horizontal="center" vertical="center"/>
    </xf>
    <xf numFmtId="0" fontId="23" fillId="7" borderId="20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22" fillId="7" borderId="19" xfId="0" applyFont="1" applyFill="1" applyBorder="1" applyAlignment="1">
      <alignment horizontal="center"/>
    </xf>
    <xf numFmtId="0" fontId="22" fillId="7" borderId="20" xfId="0" applyFont="1" applyFill="1" applyBorder="1" applyAlignment="1">
      <alignment horizontal="center"/>
    </xf>
    <xf numFmtId="0" fontId="25" fillId="3" borderId="18" xfId="0" applyFont="1" applyFill="1" applyBorder="1" applyAlignment="1">
      <alignment horizontal="center" vertical="center"/>
    </xf>
    <xf numFmtId="0" fontId="25" fillId="3" borderId="37" xfId="0" applyFont="1" applyFill="1" applyBorder="1" applyAlignment="1">
      <alignment horizontal="center" vertical="center"/>
    </xf>
    <xf numFmtId="0" fontId="28" fillId="8" borderId="18" xfId="0" applyFont="1" applyFill="1" applyBorder="1" applyAlignment="1">
      <alignment horizontal="center" vertical="center"/>
    </xf>
    <xf numFmtId="0" fontId="28" fillId="8" borderId="19" xfId="0" applyFont="1" applyFill="1" applyBorder="1" applyAlignment="1">
      <alignment horizontal="center" vertical="center"/>
    </xf>
    <xf numFmtId="0" fontId="28" fillId="8" borderId="20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165" fontId="18" fillId="7" borderId="18" xfId="0" applyNumberFormat="1" applyFont="1" applyFill="1" applyBorder="1" applyAlignment="1">
      <alignment horizontal="center" vertical="center"/>
    </xf>
    <xf numFmtId="165" fontId="18" fillId="7" borderId="19" xfId="0" applyNumberFormat="1" applyFont="1" applyFill="1" applyBorder="1" applyAlignment="1">
      <alignment horizontal="center" vertical="center"/>
    </xf>
    <xf numFmtId="165" fontId="18" fillId="7" borderId="20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0" fillId="0" borderId="33" xfId="0" applyFont="1" applyBorder="1" applyAlignment="1">
      <alignment vertical="center" wrapText="1"/>
    </xf>
    <xf numFmtId="0" fontId="18" fillId="0" borderId="2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3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276226</xdr:colOff>
      <xdr:row>15</xdr:row>
      <xdr:rowOff>85725</xdr:rowOff>
    </xdr:from>
    <xdr:to>
      <xdr:col>7</xdr:col>
      <xdr:colOff>561976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857251" y="2990850"/>
          <a:ext cx="3771900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75198</xdr:rowOff>
    </xdr:from>
    <xdr:to>
      <xdr:col>6</xdr:col>
      <xdr:colOff>626795</xdr:colOff>
      <xdr:row>36</xdr:row>
      <xdr:rowOff>113569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011152"/>
          <a:ext cx="8259328" cy="19433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75198</xdr:rowOff>
    </xdr:from>
    <xdr:to>
      <xdr:col>6</xdr:col>
      <xdr:colOff>626795</xdr:colOff>
      <xdr:row>54</xdr:row>
      <xdr:rowOff>20465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1292139"/>
          <a:ext cx="8259328" cy="29531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55</xdr:row>
      <xdr:rowOff>187992</xdr:rowOff>
    </xdr:from>
    <xdr:to>
      <xdr:col>6</xdr:col>
      <xdr:colOff>626795</xdr:colOff>
      <xdr:row>73</xdr:row>
      <xdr:rowOff>147852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4600821"/>
          <a:ext cx="8259328" cy="33437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76</xdr:row>
      <xdr:rowOff>25067</xdr:rowOff>
    </xdr:from>
    <xdr:to>
      <xdr:col>6</xdr:col>
      <xdr:colOff>626795</xdr:colOff>
      <xdr:row>92</xdr:row>
      <xdr:rowOff>160861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8385758"/>
          <a:ext cx="8259328" cy="31436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95</xdr:row>
      <xdr:rowOff>12534</xdr:rowOff>
    </xdr:from>
    <xdr:to>
      <xdr:col>6</xdr:col>
      <xdr:colOff>626795</xdr:colOff>
      <xdr:row>110</xdr:row>
      <xdr:rowOff>117216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1945100"/>
          <a:ext cx="8259328" cy="29245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112</xdr:row>
      <xdr:rowOff>75198</xdr:rowOff>
    </xdr:from>
    <xdr:to>
      <xdr:col>6</xdr:col>
      <xdr:colOff>626795</xdr:colOff>
      <xdr:row>124</xdr:row>
      <xdr:rowOff>806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25203652"/>
          <a:ext cx="8259328" cy="218152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ri" refreshedDate="42544.671747222223" createdVersion="5" refreshedVersion="5" minRefreshableVersion="3" recordCount="103">
  <cacheSource type="worksheet">
    <worksheetSource ref="A1:C104" sheet="masterlist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/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ari" refreshedDate="42548.368335763887" createdVersion="5" refreshedVersion="5" minRefreshableVersion="3" recordCount="45">
  <cacheSource type="worksheet">
    <worksheetSource ref="A1:C45" sheet="key activities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 count="7">
        <s v="LAB"/>
        <s v="LEG"/>
        <s v="CCI"/>
        <s v="DCA"/>
        <s v="IEC"/>
        <s v="PCO"/>
        <s v="IEC/DPO"/>
      </sharedItems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3">
  <r>
    <x v="0"/>
    <s v="leg"/>
    <s v="A case definition consistent with OIE for animal rabies is available"/>
  </r>
  <r>
    <x v="0"/>
    <s v="leg"/>
    <s v="A case definition consistent with WHO for human rabies is available"/>
  </r>
  <r>
    <x v="0"/>
    <s v="leg"/>
    <s v="The national authority reports at least one confirmed rabies case to WHO or OIE "/>
  </r>
  <r>
    <x v="0"/>
    <s v="lab"/>
    <s v="Contacts with an international rabies reference laboratory or international collaborating/reference center are established"/>
  </r>
  <r>
    <x v="0"/>
    <s v="lab"/>
    <s v="At least one rabies suspect sample of animals or humans is submitted to an international rabies reference laboratory for confirmation "/>
  </r>
  <r>
    <x v="0"/>
    <s v="lab"/>
    <s v="Several rabies suspect samples of animals or humans are submitted to a national laboratory and analysed by an internationally recommended method  "/>
  </r>
  <r>
    <x v="0"/>
    <s v="cci"/>
    <s v="Result of rabies sample(s) are shared appropriately with local and national authorities "/>
  </r>
  <r>
    <x v="1"/>
    <s v="leg"/>
    <s v="The animal rabies case definition has been disseminated to relevant professionals"/>
  </r>
  <r>
    <x v="1"/>
    <s v="leg"/>
    <s v="The human rabies case definition has been disseminated to relevant professionals"/>
  </r>
  <r>
    <x v="1"/>
    <s v="leg"/>
    <s v="There is a legal framework relevant to rabies prevention and control"/>
  </r>
  <r>
    <x v="1"/>
    <s v="leg"/>
    <s v="If there is a legal framework, the framework has been reviewed to determine if it is adequate.  "/>
  </r>
  <r>
    <x v="1"/>
    <s v="leg"/>
    <s v="Rabies is made a notifiable disease in animals "/>
  </r>
  <r>
    <x v="1"/>
    <s v="leg"/>
    <s v="Rabies is made a notifiable disease in humans "/>
  </r>
  <r>
    <x v="1"/>
    <s v="leg"/>
    <s v="Legislation includes compulsory rabies vaccination of dogs or proposed if not in place"/>
  </r>
  <r>
    <x v="1"/>
    <s v="leg"/>
    <s v="Legislation includes measures for outbreak response"/>
  </r>
  <r>
    <x v="1"/>
    <s v="dca"/>
    <s v="Reporting of dog rabies from local to national level "/>
  </r>
  <r>
    <x v="1"/>
    <s v="dca"/>
    <s v="Reporting of human rabies from local to national level"/>
  </r>
  <r>
    <x v="1"/>
    <s v="dca"/>
    <s v="Dog rabies data analysis capacity at the national level has been established"/>
  </r>
  <r>
    <x v="1"/>
    <s v="dca"/>
    <s v="Human rabies data analysis capacity at the national level has been established"/>
  </r>
  <r>
    <x v="1"/>
    <s v="dca"/>
    <s v="Dog bite reporting and documentation have been reviewed and data compiled"/>
  </r>
  <r>
    <x v="1"/>
    <s v="dca"/>
    <s v="Dog population studies to determine size, turn-over and accessibility have been conducted in pilot areas"/>
  </r>
  <r>
    <x v="1"/>
    <s v="lab"/>
    <s v="Rabies diagnostic capacity has been established in at least one national laboratory "/>
  </r>
  <r>
    <x v="1"/>
    <s v="iec"/>
    <s v="Public awareness activities on rabies prevention, dog bite management and dog vaccination initiated (e.g. WRD)  "/>
  </r>
  <r>
    <x v="1"/>
    <s v="iec"/>
    <s v="Communications situation and needs (KAP, training needs, stakeholder analysis) assessed at pilot level"/>
  </r>
  <r>
    <x v="1"/>
    <s v="iec"/>
    <s v="Target audiences identified for public, professional and advocacy communications (at-risk communities, dog owners, health professionals, at-risk community leaders/authorities, politicians)"/>
  </r>
  <r>
    <x v="1"/>
    <s v="iec"/>
    <s v="A rabies communication plan developed for public, professional and advocacy target audiences"/>
  </r>
  <r>
    <x v="1"/>
    <s v="iec"/>
    <s v="Training or refresher courses on rabies initiated for professionals in human and animal health "/>
  </r>
  <r>
    <x v="1"/>
    <s v="pco"/>
    <s v="Vaccines for human rabies prophylaxis are available in the country"/>
  </r>
  <r>
    <x v="1"/>
    <s v="pco"/>
    <s v="A first assessment on access to PEP (and PreP) has been carried out"/>
  </r>
  <r>
    <x v="1"/>
    <s v="pco"/>
    <s v="Dog rabies vaccines are available in the country"/>
  </r>
  <r>
    <x v="1"/>
    <s v="pco"/>
    <s v="Dog vaccination is initiated in some parts or pilot areas of the country "/>
  </r>
  <r>
    <x v="1"/>
    <s v="pco"/>
    <s v="Other rabies control activities such as IBCM, dog population management have been implemented (at least in pilot areas) "/>
  </r>
  <r>
    <x v="1"/>
    <s v="dpo"/>
    <s v="Dog population studies to determine size, turn-over and accessibility have been conducted in pilot areas"/>
  </r>
  <r>
    <x v="1"/>
    <s v="dpo"/>
    <s v="Other rabies control activities such as IBCM, dog population management have been implemented (at least in pilot areas) "/>
  </r>
  <r>
    <x v="1"/>
    <s v="cci"/>
    <s v="Identification of main national stakeholders in rabies prevention and control has been carried out"/>
  </r>
  <r>
    <x v="1"/>
    <s v="cci"/>
    <s v="Stakeholder consultations held within the last 3 years"/>
  </r>
  <r>
    <x v="1"/>
    <s v="cci"/>
    <s v="Intersectoral rabies task force, committee or working group established at local or national level and meeting at least twice a year"/>
  </r>
  <r>
    <x v="1"/>
    <s v="cci"/>
    <s v="Based on pilot area experience, a short term rabies action plan has been developed and endorsed by relevant stakeholders at local / national level"/>
  </r>
  <r>
    <x v="1"/>
    <s v="cci"/>
    <s v="Mechanisms for mobilizing emergency funds in case of an outbreak have been identified"/>
  </r>
  <r>
    <x v="2"/>
    <s v="leg"/>
    <s v="The animal rabies case definition has been reviewed and endorsed (intersectoral approach)"/>
  </r>
  <r>
    <x v="2"/>
    <s v="leg"/>
    <s v="The human rabies case definition has been reviewed and endorsed (intersectoral approach)"/>
  </r>
  <r>
    <x v="2"/>
    <s v="leg"/>
    <s v="Legal frameworks updated to include specifications on compulsory vaccination of dogs and international movement of animals. "/>
  </r>
  <r>
    <x v="2"/>
    <s v="dca"/>
    <s v="Establishment of linked human and animal rabies surveillance systems, including agreed SOPs"/>
  </r>
  <r>
    <x v="2"/>
    <s v="dca"/>
    <s v="Human rabies surveillance systems, including feedback mechanism, coordinated between administrative levels (national, province, district, municipal, etc.) "/>
  </r>
  <r>
    <x v="2"/>
    <s v="dca"/>
    <s v="Animal rabies surveillance systems, including feedback mechanism, coordinated between administrative levels (national, province, district, municipal, etc.)"/>
  </r>
  <r>
    <x v="2"/>
    <s v="dca"/>
    <s v="Information on the epidemiology of rabies is regularly shared with all stakeholders"/>
  </r>
  <r>
    <x v="2"/>
    <s v="lab"/>
    <s v="Routine laboratory diagnosis of animal rabies cases in country"/>
  </r>
  <r>
    <x v="2"/>
    <s v="lab"/>
    <s v="Capacity for sample collection and transportation has been established "/>
  </r>
  <r>
    <x v="2"/>
    <s v="iec"/>
    <s v="Information on the epidemiology of rabies is regularly shared with all stakeholders"/>
  </r>
  <r>
    <x v="2"/>
    <s v="iec"/>
    <s v="Rabies communication plan reviewed and updated "/>
  </r>
  <r>
    <x v="2"/>
    <s v="iec"/>
    <s v="Rabies awareness campaigns including responsible dog ownership have been expanded to more areas"/>
  </r>
  <r>
    <x v="2"/>
    <s v="iec"/>
    <s v="Public awareness and sensitization campaigns are tailored to specific target groups (e.g. community leaders, authorities and health professionals, World Rabies Day Activities)."/>
  </r>
  <r>
    <x v="2"/>
    <s v="iec"/>
    <s v="Training of human and animal health personnel has been conducted in most parts of the country"/>
  </r>
  <r>
    <x v="2"/>
    <s v="pco"/>
    <s v="WHO pre-qualified human rabies vaccines available and accessible in most parts of the country"/>
  </r>
  <r>
    <x v="2"/>
    <s v="pco"/>
    <s v="Any use of human biologics not WHO-pre-qualified is being phased out (e.g. nerve tissue vaccines, low quality vaccines)"/>
  </r>
  <r>
    <x v="2"/>
    <s v="pco"/>
    <s v="Supply and access to WHO pre-qualified human rabies vaccines for PrEP for professionals at risk ensured throughout the pilot areas"/>
  </r>
  <r>
    <x v="2"/>
    <s v="pco"/>
    <s v="Only quality dog vaccines in accordance with OIE standards are being used"/>
  </r>
  <r>
    <x v="2"/>
    <s v="pco"/>
    <s v="Dog vaccination campaigns are regularly implemented in response to human cases and animal outbreaks"/>
  </r>
  <r>
    <x v="2"/>
    <s v="pco"/>
    <s v="IBCM SOPs agreed, including sharing of information between sectors"/>
  </r>
  <r>
    <x v="2"/>
    <s v="pco"/>
    <s v="SOPs for the observation of dogs involved in biting incidents available "/>
  </r>
  <r>
    <x v="2"/>
    <s v="dpo"/>
    <s v="Rabies awareness campaigns including responsible dog ownership have been expanded to more areas"/>
  </r>
  <r>
    <x v="2"/>
    <s v="dpo"/>
    <s v="Refinement of strategy based on current dog ecology and KAP surveys"/>
  </r>
  <r>
    <x v="2"/>
    <s v="cci"/>
    <s v="Mechanisms for regular intersectoral collaboration are in place and implemented"/>
  </r>
  <r>
    <x v="2"/>
    <s v="cci"/>
    <s v="Contribution and role of  private sector clarified and shared with other stakeholders"/>
  </r>
  <r>
    <x v="2"/>
    <s v="cci"/>
    <s v="A national strategy and programme for rabies prevention, control and eventual elimination has been  drafted and shared with all relevant stakeholders"/>
  </r>
  <r>
    <x v="2"/>
    <s v="cci"/>
    <s v="Government resources identified and allocated in support of the national rabies control strategy and programme  "/>
  </r>
  <r>
    <x v="3"/>
    <s v="dca"/>
    <s v="Conduct field investigations for all suspected human rabies cases "/>
  </r>
  <r>
    <x v="3"/>
    <s v="dca"/>
    <s v="Epidemiological evidence available to rule out dog- transmitted human rabies cases"/>
  </r>
  <r>
    <x v="3"/>
    <s v="dca"/>
    <s v="Conduct field investigations and laboratory confirmation for all suspected rabies outbreaks in dogs"/>
  </r>
  <r>
    <x v="3"/>
    <s v="dca"/>
    <s v="Initiate collection of local or national health economic data on rabies control to make the case for rabies control investment "/>
  </r>
  <r>
    <x v="3"/>
    <s v="dca"/>
    <s v="Expand health economic studies to support further prioritization within the national rabies control programme"/>
  </r>
  <r>
    <x v="3"/>
    <s v="lab"/>
    <s v="Access to laboratory diagnosis is available throughout the country  for animal samples (and if possible also for human samples)"/>
  </r>
  <r>
    <x v="3"/>
    <s v="lab"/>
    <s v="Regular characterization and analysis of circulating rabies virus variants by a national or international laboratory"/>
  </r>
  <r>
    <x v="3"/>
    <s v="iec"/>
    <s v="Communication plan on rabies elimination is implemented"/>
  </r>
  <r>
    <x v="3"/>
    <s v="iec"/>
    <s v="Declaration of  dog-transmitted rabies free zones publicized"/>
  </r>
  <r>
    <x v="3"/>
    <s v="iec"/>
    <s v="Promote responsible dog ownership together with rabies awareness campaigns"/>
  </r>
  <r>
    <x v="3"/>
    <s v="iec"/>
    <s v="Strengthen public awareness campaigns to advocate dog vaccination to leaders and authorities "/>
  </r>
  <r>
    <x v="3"/>
    <s v="pco"/>
    <s v="WHO pre-qualified Pre- and Post- Exposure Prophylaxis available and accessible to high risk and exposed individuals throughout the country"/>
  </r>
  <r>
    <x v="3"/>
    <s v="pco"/>
    <s v="Mass dog vaccination campaigns (at least 70% of the total dog population) are conducted according to the national rabies strategy "/>
  </r>
  <r>
    <x v="3"/>
    <s v="pco"/>
    <s v="Post-vaccination surveys in dogs to evaluate vaccination coverage"/>
  </r>
  <r>
    <x v="3"/>
    <s v="pco"/>
    <s v="Capacity to conduct field investigations and planned outbreak response for animal and human rabies cases is available in the entire country"/>
  </r>
  <r>
    <x v="3"/>
    <s v="pco"/>
    <s v="Sufficient facilities for observation of rabies-suspected dogs established and comply with international animal welfare regulations"/>
  </r>
  <r>
    <x v="3"/>
    <s v="pco"/>
    <s v="Identification of potential rabies free zones where canine variant cases is absent for at least a 2 year period"/>
  </r>
  <r>
    <x v="3"/>
    <s v="cci"/>
    <s v="Refinement of national strategy based on monitoring and evaluation "/>
  </r>
  <r>
    <x v="4"/>
    <s v="leg"/>
    <s v="Declaration of national dog-transmitted rabies freedom publicized"/>
  </r>
  <r>
    <x v="4"/>
    <s v="dca"/>
    <s v="Maintenance of existing surveillance activities for all suspected cases in humans in the country"/>
  </r>
  <r>
    <x v="4"/>
    <s v="dca"/>
    <s v="Epidemiological data from routine surveillance of all animals (working animals, livestock and wildlife) used to refine the national rabies strategy"/>
  </r>
  <r>
    <x v="4"/>
    <s v="lab"/>
    <s v="Maintenance of existing surveillance activities, including ongoing laboratory investigation, for all suspected cases in dogs in the country"/>
  </r>
  <r>
    <x v="4"/>
    <s v="lab"/>
    <s v="Epidemiological data from routine surveillance of all animals (working animals, livestock and wildlife) used to refine the national rabies strategy"/>
  </r>
  <r>
    <x v="4"/>
    <s v="iec"/>
    <s v="Declaration of national dog-transmitted rabies freedom publicized"/>
  </r>
  <r>
    <x v="4"/>
    <s v="iec"/>
    <s v="Awareness programmes focusing on maintenance of freedom from dog and dog transmitted human rabies"/>
  </r>
  <r>
    <x v="4"/>
    <s v="pco"/>
    <s v="Dog vaccination campaigns are maintained in zones where dog rabies is still present or where otherwise justified (e.g. risk of introduction)"/>
  </r>
  <r>
    <x v="4"/>
    <s v="pco"/>
    <s v="Freedom from dog-transmitted rabies in the entire country verified by the absence of canine variant cases for at least a 2 year period"/>
  </r>
  <r>
    <x v="4"/>
    <s v="pco"/>
    <s v="Measures to prevent re-introduction applied in designated rabies free zones including dialogue with neighbouring countries."/>
  </r>
  <r>
    <x v="4"/>
    <s v="pco"/>
    <s v="Emergency response/contingency plan to any case of animal rabies involving a canine variant developed in preparation of the post elimination phase"/>
  </r>
  <r>
    <x v="4"/>
    <s v="cci"/>
    <s v="Veterinary border inspection and quarantine measures are fully implemented in accordance with national regulations"/>
  </r>
  <r>
    <x v="5"/>
    <s v="dca"/>
    <s v="On-going surveillance system for rabies maintained"/>
  </r>
  <r>
    <x v="5"/>
    <s v="lab"/>
    <s v="On-going laboratory investigation of all suspected cases in domestic and wild animal species in the country"/>
  </r>
  <r>
    <x v="5"/>
    <s v="iec"/>
    <s v="Dog population management and responsible dog ownership campaigns are continued "/>
  </r>
  <r>
    <x v="5"/>
    <s v="pco"/>
    <s v="Modified protocols for PEP administration for rabies free areas implemented"/>
  </r>
  <r>
    <x v="5"/>
    <s v="pco"/>
    <s v="Based on risk assessment, dog vaccination campaigns are maintained where justified "/>
  </r>
  <r>
    <x v="5"/>
    <s v="pco"/>
    <s v="Capacity for outbreak and re-introduction response maintained"/>
  </r>
  <r>
    <x v="5"/>
    <s v="dpo"/>
    <s v="Dog population management and responsible dog ownership campaigns are continued 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">
  <r>
    <x v="0"/>
    <x v="0"/>
    <s v="Contacts with an international rabies reference laboratory or international collaborating/reference center are established"/>
  </r>
  <r>
    <x v="0"/>
    <x v="0"/>
    <s v="At least one rabies suspect sample of animals or humans is submitted to an international rabies reference laboratory for confirmation "/>
  </r>
  <r>
    <x v="0"/>
    <x v="0"/>
    <s v="Several rabies suspect samples of animals or humans are submitted to a national laboratory and analysed by an internationally recommended method  "/>
  </r>
  <r>
    <x v="0"/>
    <x v="1"/>
    <s v="The national authority reports at least one confirmed rabies case to WHO or OIE "/>
  </r>
  <r>
    <x v="1"/>
    <x v="2"/>
    <s v="Based on pilot area experience, a short term rabies action plan has been developed and endorsed by relevant stakeholders at local / national level"/>
  </r>
  <r>
    <x v="1"/>
    <x v="2"/>
    <s v="Intersectoral rabies task force, committee or working group established at local or national level and meeting at least twice a year"/>
  </r>
  <r>
    <x v="1"/>
    <x v="3"/>
    <s v="Reporting of dog rabies from local to national level "/>
  </r>
  <r>
    <x v="1"/>
    <x v="3"/>
    <s v="Reporting of human rabies from local to national level"/>
  </r>
  <r>
    <x v="1"/>
    <x v="4"/>
    <s v="Public awareness activities on rabies prevention, dog bite management and dog vaccination initiated (e.g. WRD)  "/>
  </r>
  <r>
    <x v="1"/>
    <x v="0"/>
    <s v="Rabies diagnostic capacity has been established in at least one national laboratory "/>
  </r>
  <r>
    <x v="1"/>
    <x v="1"/>
    <s v="Rabies is made a notifiable disease in animals "/>
  </r>
  <r>
    <x v="1"/>
    <x v="1"/>
    <s v="Rabies is made a notifiable disease in humans "/>
  </r>
  <r>
    <x v="1"/>
    <x v="5"/>
    <s v="Vaccines for human rabies prophylaxis are available in the country"/>
  </r>
  <r>
    <x v="1"/>
    <x v="5"/>
    <s v="Dog rabies vaccines are available in the country"/>
  </r>
  <r>
    <x v="2"/>
    <x v="2"/>
    <s v="A national strategy and programme for rabies prevention, control and eventual elimination has been  drafted and shared with all relevant stakeholders"/>
  </r>
  <r>
    <x v="2"/>
    <x v="2"/>
    <s v="Government resources identified and allocated in support of the national rabies control strategy and programme  "/>
  </r>
  <r>
    <x v="2"/>
    <x v="3"/>
    <s v="Information on the epidemiology of rabies is regularly shared with all stakeholders"/>
  </r>
  <r>
    <x v="2"/>
    <x v="4"/>
    <s v="Public awareness and sensitization campaigns are tailored to specific target groups (e.g. community leaders, authorities and health professionals, World Rabies Day Activities)."/>
  </r>
  <r>
    <x v="2"/>
    <x v="1"/>
    <s v="Legal frameworks updated to include specifications on compulsory vaccination of dogs and international movement of animals. "/>
  </r>
  <r>
    <x v="2"/>
    <x v="5"/>
    <s v="WHO pre-qualified human rabies vaccines available and accessible in most parts of the country"/>
  </r>
  <r>
    <x v="2"/>
    <x v="5"/>
    <s v="Supply and access to WHO pre-qualified human rabies vaccines for PrEP for professionals at risk ensured throughout the pilot areas"/>
  </r>
  <r>
    <x v="2"/>
    <x v="5"/>
    <s v="Dog vaccination campaigns are regularly implemented in response to human cases and animal outbreaks"/>
  </r>
  <r>
    <x v="3"/>
    <x v="3"/>
    <s v="Conduct field investigations for all suspected human rabies cases "/>
  </r>
  <r>
    <x v="3"/>
    <x v="3"/>
    <s v="Epidemiological evidence available to rule out dog- transmitted human rabies cases"/>
  </r>
  <r>
    <x v="3"/>
    <x v="3"/>
    <s v="Conduct field investigations and laboratory confirmation for all suspected rabies outbreaks in dogs"/>
  </r>
  <r>
    <x v="3"/>
    <x v="4"/>
    <s v="Declaration of  dog-transmitted rabies free zones publicized"/>
  </r>
  <r>
    <x v="3"/>
    <x v="4"/>
    <s v="Communication plan on rabies elimination is implemented"/>
  </r>
  <r>
    <x v="3"/>
    <x v="5"/>
    <s v="WHO pre-qualified Pre- and Post- Exposure Prophylaxis available and accessible to high risk and exposed individuals throughout the country"/>
  </r>
  <r>
    <x v="3"/>
    <x v="5"/>
    <s v="Identification of potential rabies free zones where canine variant cases is absent for at least a 2 year period"/>
  </r>
  <r>
    <x v="3"/>
    <x v="5"/>
    <s v="Mass dog vaccination campaigns (at least 70% of the total dog population) are conducted according to the national rabies strategy "/>
  </r>
  <r>
    <x v="3"/>
    <x v="5"/>
    <s v="Post-vaccination surveys in dogs to evaluate vaccination coverage"/>
  </r>
  <r>
    <x v="4"/>
    <x v="3"/>
    <s v="Maintenance of existing surveillance activities for all suspected cases in humans in the country"/>
  </r>
  <r>
    <x v="4"/>
    <x v="3"/>
    <s v="Epidemiological data from routine surveillance of all animals (working animals, livestock and wildlife) used to refine the national rabies strategy"/>
  </r>
  <r>
    <x v="4"/>
    <x v="0"/>
    <s v="Maintenance of existing surveillance activities, including ongoing laboratory investigation, for all suspected cases in dogs in the country"/>
  </r>
  <r>
    <x v="4"/>
    <x v="1"/>
    <s v="Declaration of national dog-transmitted rabies freedom publicized"/>
  </r>
  <r>
    <x v="4"/>
    <x v="5"/>
    <s v="Dog vaccination campaigns are maintained in zones where dog rabies is still present or where otherwise justified (e.g. risk of introduction)"/>
  </r>
  <r>
    <x v="4"/>
    <x v="5"/>
    <s v="Freedom from dog-transmitted rabies in the entire country verified by the absence of canine variant cases for at least a 2 year period"/>
  </r>
  <r>
    <x v="4"/>
    <x v="5"/>
    <s v="Emergency response/contingency plan to any case of animal rabies involving a canine variant developed in preparation of the post elimination phase"/>
  </r>
  <r>
    <x v="5"/>
    <x v="3"/>
    <s v="On-going surveillance system for rabies maintained"/>
  </r>
  <r>
    <x v="5"/>
    <x v="6"/>
    <s v="Dog population management and responsible dog ownership campaigns are continued"/>
  </r>
  <r>
    <x v="5"/>
    <x v="0"/>
    <s v="On-going laboratory investigation of all suspected cases in domestic and wild animal species in the country"/>
  </r>
  <r>
    <x v="5"/>
    <x v="5"/>
    <s v="Modified protocols for PEP administration for rabies free areas implemented"/>
  </r>
  <r>
    <x v="5"/>
    <x v="5"/>
    <s v="Based on risk assessment, dog vaccination campaigns are maintained where justified"/>
  </r>
  <r>
    <x v="5"/>
    <x v="5"/>
    <s v="Capacity for outbreak and re-introduction response maintained"/>
  </r>
  <r>
    <x v="5"/>
    <x v="6"/>
    <s v="Dog population management and responsible dog ownership campaigns are continu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1:B58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dataField="1" showAll="0">
      <items count="8">
        <item x="2"/>
        <item x="3"/>
        <item x="4"/>
        <item x="6"/>
        <item x="0"/>
        <item x="1"/>
        <item x="5"/>
        <item t="default"/>
      </items>
    </pivotField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OMPONEN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07:B114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ACTIVITY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workbookViewId="0">
      <selection activeCell="B3" sqref="B3"/>
    </sheetView>
  </sheetViews>
  <sheetFormatPr defaultColWidth="8.7109375" defaultRowHeight="15" x14ac:dyDescent="0.25"/>
  <sheetData>
    <row r="1" spans="1:1" ht="18.75" x14ac:dyDescent="0.25">
      <c r="A1" s="41"/>
    </row>
    <row r="2" spans="1:1" x14ac:dyDescent="0.25">
      <c r="A2" s="10"/>
    </row>
  </sheetData>
  <sheetProtection algorithmName="SHA-512" hashValue="i70sMZdlh0iAos3GdU3TzyCEeEPMcP1onTttAkdkxPMwMk/zF+mxPa7fcmhM5jovvtK24q0pLFdQ1jJuZP+edw==" saltValue="9BoJebapof+8Kws6IHy28g==" spinCount="100000" sheet="1" objects="1" scenarios="1"/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showGridLines="0" topLeftCell="C3" workbookViewId="0">
      <selection activeCell="F3" sqref="F3"/>
    </sheetView>
  </sheetViews>
  <sheetFormatPr defaultColWidth="8.7109375" defaultRowHeight="15" x14ac:dyDescent="0.25"/>
  <cols>
    <col min="1" max="1" width="9.140625" style="4" customWidth="1"/>
    <col min="2" max="2" width="14.7109375" customWidth="1"/>
    <col min="3" max="3" width="56" style="5" customWidth="1"/>
    <col min="4" max="4" width="44.28515625" customWidth="1"/>
    <col min="6" max="6" width="66.7109375" style="13" customWidth="1"/>
    <col min="7" max="7" width="71.7109375" style="67" customWidth="1"/>
  </cols>
  <sheetData>
    <row r="1" spans="1:7" ht="15.75" x14ac:dyDescent="0.25">
      <c r="A1" s="12" t="s">
        <v>37</v>
      </c>
      <c r="D1" s="5"/>
    </row>
    <row r="2" spans="1:7" x14ac:dyDescent="0.25">
      <c r="A2" s="2" t="s">
        <v>4</v>
      </c>
      <c r="D2" s="5"/>
    </row>
    <row r="4" spans="1:7" s="47" customFormat="1" ht="29.25" customHeight="1" x14ac:dyDescent="0.25">
      <c r="A4" s="33" t="s">
        <v>0</v>
      </c>
      <c r="B4" s="37" t="s">
        <v>49</v>
      </c>
      <c r="C4" s="39" t="s">
        <v>1</v>
      </c>
      <c r="D4" s="46" t="s">
        <v>324</v>
      </c>
      <c r="E4" s="35" t="s">
        <v>2</v>
      </c>
      <c r="F4" s="81" t="s">
        <v>3</v>
      </c>
      <c r="G4" s="69"/>
    </row>
    <row r="5" spans="1:7" s="85" customFormat="1" ht="30" x14ac:dyDescent="0.25">
      <c r="A5" s="211">
        <v>0</v>
      </c>
      <c r="B5" s="260" t="s">
        <v>26</v>
      </c>
      <c r="C5" s="212" t="s">
        <v>346</v>
      </c>
      <c r="D5" s="213" t="s">
        <v>484</v>
      </c>
      <c r="E5" s="244">
        <v>0</v>
      </c>
      <c r="F5" s="245"/>
      <c r="G5" s="84"/>
    </row>
    <row r="6" spans="1:7" ht="30" x14ac:dyDescent="0.25">
      <c r="A6" s="203">
        <v>1</v>
      </c>
      <c r="B6" s="261"/>
      <c r="C6" s="144" t="s">
        <v>22</v>
      </c>
      <c r="D6" s="197" t="s">
        <v>485</v>
      </c>
      <c r="E6" s="146">
        <v>1</v>
      </c>
      <c r="F6" s="147" t="s">
        <v>502</v>
      </c>
    </row>
    <row r="7" spans="1:7" x14ac:dyDescent="0.25">
      <c r="A7" s="203">
        <v>1</v>
      </c>
      <c r="B7" s="261"/>
      <c r="C7" s="144" t="s">
        <v>367</v>
      </c>
      <c r="D7" s="196"/>
      <c r="E7" s="146">
        <v>0</v>
      </c>
      <c r="F7" s="147"/>
    </row>
    <row r="8" spans="1:7" ht="45" x14ac:dyDescent="0.25">
      <c r="A8" s="143">
        <v>1</v>
      </c>
      <c r="B8" s="261"/>
      <c r="C8" s="144" t="s">
        <v>368</v>
      </c>
      <c r="D8" s="196" t="s">
        <v>486</v>
      </c>
      <c r="E8" s="146">
        <v>0</v>
      </c>
      <c r="F8" s="147"/>
    </row>
    <row r="9" spans="1:7" ht="30" x14ac:dyDescent="0.25">
      <c r="A9" s="203">
        <v>2</v>
      </c>
      <c r="B9" s="261"/>
      <c r="C9" s="144" t="s">
        <v>24</v>
      </c>
      <c r="D9" s="197"/>
      <c r="E9" s="146">
        <v>0</v>
      </c>
      <c r="F9" s="147"/>
    </row>
    <row r="10" spans="1:7" ht="30" x14ac:dyDescent="0.25">
      <c r="A10" s="206">
        <v>2</v>
      </c>
      <c r="B10" s="262"/>
      <c r="C10" s="149" t="s">
        <v>391</v>
      </c>
      <c r="D10" s="198"/>
      <c r="E10" s="151">
        <v>0</v>
      </c>
      <c r="F10" s="152"/>
    </row>
    <row r="11" spans="1:7" ht="45" x14ac:dyDescent="0.25">
      <c r="A11" s="201">
        <v>1</v>
      </c>
      <c r="B11" s="260" t="s">
        <v>27</v>
      </c>
      <c r="C11" s="139" t="s">
        <v>369</v>
      </c>
      <c r="D11" s="195"/>
      <c r="E11" s="141">
        <v>0</v>
      </c>
      <c r="F11" s="142"/>
    </row>
    <row r="12" spans="1:7" ht="30" x14ac:dyDescent="0.25">
      <c r="A12" s="203">
        <v>1</v>
      </c>
      <c r="B12" s="261"/>
      <c r="C12" s="144" t="s">
        <v>23</v>
      </c>
      <c r="D12" s="197"/>
      <c r="E12" s="146">
        <v>1</v>
      </c>
      <c r="F12" s="147"/>
    </row>
    <row r="13" spans="1:7" ht="45" x14ac:dyDescent="0.25">
      <c r="A13" s="214">
        <v>2</v>
      </c>
      <c r="B13" s="261"/>
      <c r="C13" s="144" t="s">
        <v>389</v>
      </c>
      <c r="D13" s="196"/>
      <c r="E13" s="146">
        <v>0</v>
      </c>
      <c r="F13" s="147"/>
    </row>
    <row r="14" spans="1:7" ht="30" x14ac:dyDescent="0.25">
      <c r="A14" s="214">
        <v>2</v>
      </c>
      <c r="B14" s="261"/>
      <c r="C14" s="144" t="s">
        <v>390</v>
      </c>
      <c r="D14" s="197"/>
      <c r="E14" s="146">
        <v>0</v>
      </c>
      <c r="F14" s="147"/>
    </row>
    <row r="15" spans="1:7" ht="30" x14ac:dyDescent="0.25">
      <c r="A15" s="203">
        <v>3</v>
      </c>
      <c r="B15" s="261"/>
      <c r="C15" s="144" t="s">
        <v>409</v>
      </c>
      <c r="D15" s="197"/>
      <c r="E15" s="146">
        <v>0</v>
      </c>
      <c r="F15" s="147"/>
    </row>
    <row r="16" spans="1:7" ht="30" x14ac:dyDescent="0.25">
      <c r="A16" s="206">
        <v>4</v>
      </c>
      <c r="B16" s="262"/>
      <c r="C16" s="149" t="s">
        <v>25</v>
      </c>
      <c r="D16" s="198"/>
      <c r="E16" s="151">
        <v>0</v>
      </c>
      <c r="F16" s="152"/>
    </row>
  </sheetData>
  <sheetProtection algorithmName="SHA-512" hashValue="3pivIB0t2oyNvxx5v850Gh8tnmWoAbiOuyP06/5FHPW9BtMvUVD46RbhoKbdcVZwcX4fv5z7CyyRp7S0jRfRNg==" saltValue="bTHRvb6mlZyzzey6BIOQDA==" spinCount="100000" sheet="1" objects="1" scenarios="1" formatColumns="0"/>
  <mergeCells count="2">
    <mergeCell ref="B11:B16"/>
    <mergeCell ref="B5:B10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34"/>
  <sheetViews>
    <sheetView showGridLines="0" zoomScale="76" zoomScaleNormal="76" zoomScalePageLayoutView="76" workbookViewId="0">
      <selection activeCell="G11" sqref="G11:G12"/>
    </sheetView>
  </sheetViews>
  <sheetFormatPr defaultColWidth="8.7109375" defaultRowHeight="15" x14ac:dyDescent="0.25"/>
  <cols>
    <col min="1" max="1" width="38.85546875" customWidth="1"/>
    <col min="2" max="3" width="15.85546875" customWidth="1"/>
    <col min="4" max="4" width="8.28515625" customWidth="1"/>
    <col min="5" max="5" width="7.28515625" customWidth="1"/>
    <col min="6" max="6" width="28.42578125" customWidth="1"/>
    <col min="7" max="7" width="15.85546875" customWidth="1"/>
    <col min="8" max="8" width="15.85546875" style="64" customWidth="1"/>
    <col min="9" max="9" width="15.85546875" style="4" customWidth="1"/>
    <col min="10" max="10" width="15.85546875" style="13" customWidth="1"/>
  </cols>
  <sheetData>
    <row r="1" spans="1:10" ht="42.75" customHeight="1" thickBot="1" x14ac:dyDescent="0.3">
      <c r="A1" s="276" t="str">
        <f>CONCATENATE("Stepwise Approach towards Rabies Elimination - ",'Country profile'!E4," ",YEAR('Country profile'!F14))</f>
        <v>Stepwise Approach towards Rabies Elimination - Nigeria 2016</v>
      </c>
      <c r="B1" s="277"/>
      <c r="C1" s="277"/>
      <c r="D1" s="277"/>
      <c r="E1" s="277"/>
      <c r="F1" s="277"/>
      <c r="G1" s="277"/>
      <c r="H1" s="277"/>
      <c r="I1" s="277"/>
      <c r="J1" s="278"/>
    </row>
    <row r="2" spans="1:10" s="121" customFormat="1" ht="8.25" customHeight="1" thickBot="1" x14ac:dyDescent="0.3">
      <c r="A2" s="119"/>
      <c r="B2" s="119"/>
      <c r="C2" s="119"/>
      <c r="D2" s="120"/>
      <c r="E2" s="119"/>
      <c r="F2" s="119"/>
      <c r="G2" s="119"/>
      <c r="H2" s="119"/>
      <c r="I2" s="119"/>
      <c r="J2" s="119"/>
    </row>
    <row r="3" spans="1:10" ht="43.5" customHeight="1" thickBot="1" x14ac:dyDescent="0.3">
      <c r="A3" s="284" t="str">
        <f>CONCATENATE("STAGE   ",((INDEX(E7:E18,MATCH("PENDING",J7:J18,0)))))</f>
        <v>STAGE   1,5</v>
      </c>
      <c r="B3" s="285"/>
      <c r="C3" s="285"/>
      <c r="D3" s="285"/>
      <c r="E3" s="285"/>
      <c r="F3" s="285"/>
      <c r="G3" s="285"/>
      <c r="H3" s="285"/>
      <c r="I3" s="285"/>
      <c r="J3" s="286"/>
    </row>
    <row r="4" spans="1:10" s="112" customFormat="1" ht="8.25" customHeight="1" thickBot="1" x14ac:dyDescent="0.3">
      <c r="A4" s="122"/>
      <c r="B4" s="123"/>
      <c r="C4" s="123"/>
      <c r="E4" s="124"/>
      <c r="F4" s="124"/>
      <c r="G4" s="124"/>
      <c r="H4" s="124"/>
      <c r="I4" s="124"/>
      <c r="J4" s="124"/>
    </row>
    <row r="5" spans="1:10" s="72" customFormat="1" ht="34.5" customHeight="1" thickBot="1" x14ac:dyDescent="0.35">
      <c r="A5" s="279" t="s">
        <v>339</v>
      </c>
      <c r="B5" s="280"/>
      <c r="C5" s="281"/>
      <c r="E5" s="289" t="s">
        <v>338</v>
      </c>
      <c r="F5" s="290"/>
      <c r="G5" s="290"/>
      <c r="H5" s="290"/>
      <c r="I5" s="290"/>
      <c r="J5" s="291"/>
    </row>
    <row r="6" spans="1:10" ht="63.75" thickBot="1" x14ac:dyDescent="0.3">
      <c r="A6" s="125" t="s">
        <v>326</v>
      </c>
      <c r="B6" s="126" t="s">
        <v>328</v>
      </c>
      <c r="C6" s="127" t="s">
        <v>327</v>
      </c>
      <c r="E6" s="282" t="s">
        <v>0</v>
      </c>
      <c r="F6" s="283"/>
      <c r="G6" s="91" t="s">
        <v>328</v>
      </c>
      <c r="H6" s="91" t="s">
        <v>327</v>
      </c>
      <c r="I6" s="91" t="s">
        <v>336</v>
      </c>
      <c r="J6" s="98" t="s">
        <v>337</v>
      </c>
    </row>
    <row r="7" spans="1:10" ht="30.75" customHeight="1" x14ac:dyDescent="0.25">
      <c r="A7" s="73" t="s">
        <v>426</v>
      </c>
      <c r="B7" s="74">
        <f>(COUNT(STATUS))-C7</f>
        <v>11</v>
      </c>
      <c r="C7" s="75">
        <f>SUM(Legislation!E:E)</f>
        <v>4</v>
      </c>
      <c r="E7" s="100">
        <v>0</v>
      </c>
      <c r="F7" s="295" t="s">
        <v>441</v>
      </c>
      <c r="G7" s="296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3</v>
      </c>
      <c r="H7" s="296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4</v>
      </c>
      <c r="I7" s="297">
        <f>COUNTIF(Legislation!E11,"1")+COUNTIF('Lab dx'!E5,"1")+COUNTIF('Lab dx'!E6,"1")+COUNTIF('Lab dx'!E7,"1")</f>
        <v>4</v>
      </c>
      <c r="J7" s="96" t="str">
        <f>IF(I7&gt;=2,"COMPLETED",IF(AND(I7&gt;=1,H7&gt;=4),"COMPLETED","PENDING"))</f>
        <v>COMPLETED</v>
      </c>
    </row>
    <row r="8" spans="1:10" ht="30.75" customHeight="1" x14ac:dyDescent="0.25">
      <c r="A8" s="76"/>
      <c r="B8" s="74"/>
      <c r="C8" s="75"/>
      <c r="E8" s="101">
        <v>0.5</v>
      </c>
      <c r="F8" s="292"/>
      <c r="G8" s="293"/>
      <c r="H8" s="293"/>
      <c r="I8" s="294"/>
      <c r="J8" s="97" t="str">
        <f>IF(I7=4,"COMPLETED","PENDING")</f>
        <v>COMPLETED</v>
      </c>
    </row>
    <row r="9" spans="1:10" ht="30.75" customHeight="1" x14ac:dyDescent="0.25">
      <c r="A9" s="73" t="s">
        <v>427</v>
      </c>
      <c r="B9" s="74">
        <f>(COUNT(datastatus)-'SUMMARY (Score)'!C9)</f>
        <v>13</v>
      </c>
      <c r="C9" s="75">
        <f>SUM('Data coll &amp; ax'!E:E)</f>
        <v>5</v>
      </c>
      <c r="E9" s="102">
        <v>1</v>
      </c>
      <c r="F9" s="272" t="s">
        <v>488</v>
      </c>
      <c r="G9" s="274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22</v>
      </c>
      <c r="H9" s="274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10</v>
      </c>
      <c r="I9" s="287">
        <f>COUNTIF(Legislation!E14,"1")+COUNTIF(Legislation!E15,"1")+COUNTIF('Data coll &amp; ax'!E5,"1")+COUNTIF('Data coll &amp; ax'!E6,"1")+COUNTIF('Cross-cutting issues'!E11,"1")+COUNTIF('Prev &amp; Ctrl'!E5,"1")+COUNTIF('Prev &amp; Ctrl'!E12,"1")+COUNTIF('Cross-cutting issues'!E8,"1")+COUNTIF('Lab dx'!E8,"1")+COUNTIF(IEC!E11,"1")</f>
        <v>6</v>
      </c>
      <c r="J9" s="92" t="str">
        <f>IF(I9&gt;=5,"COMPLETED",IF(AND(I9&gt;=1,H9&gt;16),"COMPLETED","PENDING"))</f>
        <v>COMPLETED</v>
      </c>
    </row>
    <row r="10" spans="1:10" ht="30.75" customHeight="1" x14ac:dyDescent="0.25">
      <c r="A10" s="76"/>
      <c r="B10" s="74"/>
      <c r="C10" s="75"/>
      <c r="E10" s="103">
        <v>1.5</v>
      </c>
      <c r="F10" s="273"/>
      <c r="G10" s="275"/>
      <c r="H10" s="275"/>
      <c r="I10" s="288"/>
      <c r="J10" s="93" t="str">
        <f>IF(I9=10,"COMPLETED","PENDING")</f>
        <v>PENDING</v>
      </c>
    </row>
    <row r="11" spans="1:10" ht="30.75" customHeight="1" x14ac:dyDescent="0.25">
      <c r="A11" s="73" t="s">
        <v>490</v>
      </c>
      <c r="B11" s="74">
        <f>COUNT(labstatus)-'SUMMARY (Score)'!C11</f>
        <v>5</v>
      </c>
      <c r="C11" s="75">
        <f>SUM('Lab dx'!E:E)</f>
        <v>6</v>
      </c>
      <c r="E11" s="102">
        <v>2</v>
      </c>
      <c r="F11" s="272" t="s">
        <v>431</v>
      </c>
      <c r="G11" s="274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21</v>
      </c>
      <c r="H11" s="274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6</v>
      </c>
      <c r="I11" s="287">
        <f>COUNTIF(Legislation!E18,"1")+COUNTIF('Data coll &amp; ax'!E14,"1")+COUNTIF('Prev &amp; Ctrl'!E7,"1")+COUNTIF('Prev &amp; Ctrl'!E9,"1")+COUNTIF('Prev &amp; Ctrl'!E15,"1")+COUNTIF(IEC!E13,"1")+COUNTIF('Cross-cutting issues'!E13,"1")+COUNTIF('Cross-cutting issues'!E14,"1")</f>
        <v>1</v>
      </c>
      <c r="J11" s="92" t="str">
        <f>IF(I11&gt;=4,"COMPLETED",IF(AND(I11&gt;=1,H11&gt;13),"COMPLETED","PENDING"))</f>
        <v>PENDING</v>
      </c>
    </row>
    <row r="12" spans="1:10" ht="30.75" customHeight="1" x14ac:dyDescent="0.25">
      <c r="A12" s="76"/>
      <c r="B12" s="74"/>
      <c r="C12" s="75"/>
      <c r="E12" s="103">
        <v>2.5</v>
      </c>
      <c r="F12" s="273"/>
      <c r="G12" s="275"/>
      <c r="H12" s="275"/>
      <c r="I12" s="288"/>
      <c r="J12" s="93" t="str">
        <f>IF(I11=8,"COMPLETED","PENDING")</f>
        <v>PENDING</v>
      </c>
    </row>
    <row r="13" spans="1:10" ht="30.75" customHeight="1" x14ac:dyDescent="0.25">
      <c r="A13" s="73" t="s">
        <v>491</v>
      </c>
      <c r="B13" s="74">
        <f>COUNT(iecstatus)-'SUMMARY (Score)'!C13</f>
        <v>15</v>
      </c>
      <c r="C13" s="75">
        <f>SUM(IEC!E:E)</f>
        <v>2</v>
      </c>
      <c r="E13" s="101">
        <v>3</v>
      </c>
      <c r="F13" s="292" t="s">
        <v>432</v>
      </c>
      <c r="G13" s="293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18</v>
      </c>
      <c r="H13" s="293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0</v>
      </c>
      <c r="I13" s="294">
        <f>COUNTIF('Data coll &amp; ax'!E15,"1")+COUNTIF('Data coll &amp; ax'!E16,"1")+COUNTIF('Data coll &amp; ax'!E17,"1")+COUNTIF('Prev &amp; Ctrl'!E10,"1")+COUNTIF('Prev &amp; Ctrl'!E25,"1")+COUNTIF(IEC!E14,"1")+COUNTIF('Prev &amp; Ctrl'!E16,"1")+COUNTIF('Prev &amp; Ctrl'!E17,"1")+COUNTIF(IEC!E10,"1")</f>
        <v>0</v>
      </c>
      <c r="J13" s="97" t="str">
        <f>IF(I13&gt;4,"COMPLETED",IF(AND(I13&gt;=1,H13&gt;9),"COMPLETED","PENDING"))</f>
        <v>PENDING</v>
      </c>
    </row>
    <row r="14" spans="1:10" ht="30.75" customHeight="1" x14ac:dyDescent="0.25">
      <c r="A14" s="76"/>
      <c r="B14" s="74"/>
      <c r="C14" s="75"/>
      <c r="E14" s="101">
        <v>3.5</v>
      </c>
      <c r="F14" s="292"/>
      <c r="G14" s="293"/>
      <c r="H14" s="293"/>
      <c r="I14" s="294"/>
      <c r="J14" s="97" t="str">
        <f>IF(I13=9,"COMPLETED","PENDING")</f>
        <v>PENDING</v>
      </c>
    </row>
    <row r="15" spans="1:10" ht="30.75" customHeight="1" x14ac:dyDescent="0.25">
      <c r="A15" s="73" t="s">
        <v>428</v>
      </c>
      <c r="B15" s="74">
        <f>COUNT(prevstatus)-'SUMMARY (Score)'!C15</f>
        <v>23</v>
      </c>
      <c r="C15" s="75">
        <f>SUM('Prev &amp; Ctrl'!E:E)</f>
        <v>2</v>
      </c>
      <c r="E15" s="102">
        <v>4</v>
      </c>
      <c r="F15" s="272" t="s">
        <v>430</v>
      </c>
      <c r="G15" s="274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11</v>
      </c>
      <c r="H15" s="274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1</v>
      </c>
      <c r="I15" s="287">
        <f>COUNTIF('Lab dx'!E13,"1")+COUNTIF('Data coll &amp; ax'!E18,"1")+COUNTIF('Data coll &amp; ax'!E19,"1")+COUNTIF('Prev &amp; Ctrl'!E18,"1")+COUNTIF('Prev &amp; Ctrl'!E26,"1")+COUNTIF(Legislation!E19,"1")+COUNTIF('Prev &amp; Ctrl'!E28,"1")</f>
        <v>1</v>
      </c>
      <c r="J15" s="92" t="str">
        <f>IF(I15&gt;3,"COMPLETED",IF(AND(I15&gt;=1,H15&gt;6),"COMPLETED","PENDING"))</f>
        <v>PENDING</v>
      </c>
    </row>
    <row r="16" spans="1:10" ht="30.75" customHeight="1" x14ac:dyDescent="0.25">
      <c r="A16" s="76"/>
      <c r="B16" s="74"/>
      <c r="C16" s="75"/>
      <c r="E16" s="103">
        <v>4.5</v>
      </c>
      <c r="F16" s="273"/>
      <c r="G16" s="275"/>
      <c r="H16" s="275"/>
      <c r="I16" s="288"/>
      <c r="J16" s="93" t="str">
        <f>IF(I15=7,"COMPLETED","PENDING")</f>
        <v>PENDING</v>
      </c>
    </row>
    <row r="17" spans="1:11" ht="30.75" customHeight="1" thickBot="1" x14ac:dyDescent="0.3">
      <c r="A17" s="73" t="s">
        <v>429</v>
      </c>
      <c r="B17" s="74">
        <f>(COUNT(dogstatus)-'SUMMARY (Score)'!C17)</f>
        <v>5</v>
      </c>
      <c r="C17" s="75">
        <f>SUM('Dog popn'!E:E)</f>
        <v>0</v>
      </c>
      <c r="E17" s="104">
        <v>5</v>
      </c>
      <c r="F17" s="95" t="s">
        <v>433</v>
      </c>
      <c r="G17" s="78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7</v>
      </c>
      <c r="H17" s="78">
        <f>COUNTIF('SUMMARY (Stage)'!C47:C55,"?*")+COUNTIF('SUMMARY (Stage)'!F47:F55,"?*")+COUNTIF('SUMMARY (Stage)'!I47:I55,"?*")+COUNTIF('SUMMARY (Stage)'!L47:L55,"?*")+COUNTIF('SUMMARY (Stage)'!O47:O55,"?*")+COUNTIF('SUMMARY (Stage)'!R47:R55,"?*")+COUNTIF('SUMMARY (Stage)'!U47:U55,"?*")</f>
        <v>0</v>
      </c>
      <c r="I17" s="94">
        <f>H17</f>
        <v>0</v>
      </c>
      <c r="J17" s="79" t="str">
        <f>IF(I17=7,"COMPLETED","PENDING")</f>
        <v>PENDING</v>
      </c>
    </row>
    <row r="18" spans="1:11" ht="30.75" customHeight="1" x14ac:dyDescent="0.25">
      <c r="A18" s="76"/>
      <c r="B18" s="74"/>
      <c r="C18" s="75"/>
      <c r="E18" s="246">
        <v>5</v>
      </c>
      <c r="G18" s="64"/>
      <c r="J18" s="18" t="s">
        <v>487</v>
      </c>
    </row>
    <row r="19" spans="1:11" ht="30.75" customHeight="1" thickBot="1" x14ac:dyDescent="0.3">
      <c r="A19" s="128" t="s">
        <v>456</v>
      </c>
      <c r="B19" s="129">
        <f>COUNT(crossstatus)-'SUMMARY (Score)'!C19</f>
        <v>10</v>
      </c>
      <c r="C19" s="77">
        <f>SUM('Cross-cutting issues'!E:E)</f>
        <v>2</v>
      </c>
      <c r="G19" s="64"/>
    </row>
    <row r="20" spans="1:11" x14ac:dyDescent="0.25">
      <c r="B20" s="60"/>
      <c r="G20" s="64"/>
    </row>
    <row r="21" spans="1:11" x14ac:dyDescent="0.25">
      <c r="B21" s="60"/>
      <c r="G21" s="64"/>
    </row>
    <row r="22" spans="1:11" x14ac:dyDescent="0.25">
      <c r="B22" s="60"/>
      <c r="G22" s="64"/>
    </row>
    <row r="23" spans="1:11" x14ac:dyDescent="0.25">
      <c r="B23" s="60"/>
      <c r="G23" s="64"/>
    </row>
    <row r="24" spans="1:11" x14ac:dyDescent="0.25">
      <c r="B24" s="60"/>
      <c r="G24" s="64"/>
    </row>
    <row r="25" spans="1:11" ht="17.25" x14ac:dyDescent="0.3">
      <c r="A25" s="71" t="s">
        <v>442</v>
      </c>
      <c r="G25" s="64"/>
    </row>
    <row r="27" spans="1:11" x14ac:dyDescent="0.25">
      <c r="H27" s="15"/>
      <c r="I27" s="15"/>
      <c r="J27" s="9"/>
      <c r="K27" s="15"/>
    </row>
    <row r="28" spans="1:11" x14ac:dyDescent="0.25">
      <c r="H28" s="15"/>
      <c r="I28" s="15"/>
      <c r="J28" s="9"/>
      <c r="K28" s="15"/>
    </row>
    <row r="29" spans="1:11" ht="15.75" customHeight="1" x14ac:dyDescent="0.25">
      <c r="J29" s="9"/>
      <c r="K29" s="15"/>
    </row>
    <row r="30" spans="1:11" ht="15.75" customHeight="1" x14ac:dyDescent="0.25">
      <c r="J30" s="9"/>
      <c r="K30" s="15"/>
    </row>
    <row r="31" spans="1:11" x14ac:dyDescent="0.25">
      <c r="J31" s="9"/>
      <c r="K31" s="15"/>
    </row>
    <row r="32" spans="1:11" x14ac:dyDescent="0.25">
      <c r="J32" s="9"/>
      <c r="K32" s="15"/>
    </row>
    <row r="33" spans="8:11" x14ac:dyDescent="0.25">
      <c r="H33" s="15"/>
      <c r="I33" s="15"/>
      <c r="J33" s="9"/>
      <c r="K33" s="15"/>
    </row>
    <row r="34" spans="8:11" x14ac:dyDescent="0.25">
      <c r="H34" s="15"/>
      <c r="I34" s="15"/>
      <c r="J34" s="9"/>
      <c r="K34" s="15"/>
    </row>
    <row r="35" spans="8:11" x14ac:dyDescent="0.25">
      <c r="H35" s="15"/>
      <c r="I35" s="15"/>
      <c r="J35" s="9"/>
      <c r="K35" s="15"/>
    </row>
    <row r="36" spans="8:11" x14ac:dyDescent="0.25">
      <c r="H36" s="15"/>
      <c r="I36" s="15"/>
      <c r="J36" s="9"/>
      <c r="K36" s="15"/>
    </row>
    <row r="37" spans="8:11" x14ac:dyDescent="0.25">
      <c r="H37" s="15"/>
      <c r="I37" s="15"/>
      <c r="J37" s="9"/>
      <c r="K37" s="15"/>
    </row>
    <row r="38" spans="8:11" x14ac:dyDescent="0.25">
      <c r="H38" s="15"/>
      <c r="I38" s="15"/>
      <c r="J38" s="9"/>
      <c r="K38" s="15"/>
    </row>
    <row r="39" spans="8:11" x14ac:dyDescent="0.25">
      <c r="H39" s="15"/>
      <c r="I39" s="15"/>
      <c r="J39" s="9"/>
      <c r="K39" s="15"/>
    </row>
    <row r="40" spans="8:11" x14ac:dyDescent="0.25">
      <c r="H40" s="15"/>
      <c r="I40" s="15"/>
      <c r="J40" s="9"/>
      <c r="K40" s="15"/>
    </row>
    <row r="41" spans="8:11" x14ac:dyDescent="0.25">
      <c r="H41" s="15"/>
      <c r="I41" s="15"/>
      <c r="J41" s="9"/>
      <c r="K41" s="15"/>
    </row>
    <row r="42" spans="8:11" x14ac:dyDescent="0.25">
      <c r="H42" s="15"/>
      <c r="I42" s="15"/>
      <c r="J42" s="9"/>
      <c r="K42" s="15"/>
    </row>
    <row r="43" spans="8:11" x14ac:dyDescent="0.25">
      <c r="H43" s="15"/>
      <c r="I43" s="15"/>
      <c r="J43" s="9"/>
      <c r="K43" s="15"/>
    </row>
    <row r="44" spans="8:11" x14ac:dyDescent="0.25">
      <c r="H44" s="15"/>
      <c r="I44" s="15"/>
      <c r="J44" s="9"/>
      <c r="K44" s="15"/>
    </row>
    <row r="45" spans="8:11" x14ac:dyDescent="0.25">
      <c r="H45" s="15"/>
      <c r="I45" s="15"/>
      <c r="J45" s="9"/>
      <c r="K45" s="15"/>
    </row>
    <row r="46" spans="8:11" x14ac:dyDescent="0.25">
      <c r="H46" s="15"/>
      <c r="I46" s="15"/>
      <c r="J46" s="9"/>
      <c r="K46" s="15"/>
    </row>
    <row r="47" spans="8:11" x14ac:dyDescent="0.25">
      <c r="H47" s="15"/>
      <c r="I47" s="15"/>
      <c r="J47" s="9"/>
      <c r="K47" s="15"/>
    </row>
    <row r="48" spans="8:11" x14ac:dyDescent="0.25">
      <c r="H48" s="15"/>
      <c r="I48" s="15"/>
      <c r="J48" s="9"/>
      <c r="K48" s="15"/>
    </row>
    <row r="49" spans="8:11" x14ac:dyDescent="0.25">
      <c r="H49" s="15"/>
      <c r="I49" s="15"/>
      <c r="J49" s="9"/>
      <c r="K49" s="15"/>
    </row>
    <row r="50" spans="8:11" x14ac:dyDescent="0.25">
      <c r="H50" s="15"/>
      <c r="I50" s="15"/>
      <c r="J50" s="9"/>
      <c r="K50" s="15"/>
    </row>
    <row r="51" spans="8:11" x14ac:dyDescent="0.25">
      <c r="H51" s="15"/>
      <c r="I51" s="15"/>
      <c r="J51" s="9"/>
      <c r="K51" s="15"/>
    </row>
    <row r="52" spans="8:11" x14ac:dyDescent="0.25">
      <c r="H52" s="15"/>
      <c r="I52" s="15"/>
      <c r="J52" s="9"/>
      <c r="K52" s="15"/>
    </row>
    <row r="53" spans="8:11" x14ac:dyDescent="0.25">
      <c r="H53" s="15"/>
      <c r="I53" s="15"/>
      <c r="J53" s="9"/>
      <c r="K53" s="15"/>
    </row>
    <row r="54" spans="8:11" x14ac:dyDescent="0.25">
      <c r="H54" s="15"/>
      <c r="I54" s="15"/>
      <c r="J54" s="9"/>
      <c r="K54" s="15"/>
    </row>
    <row r="55" spans="8:11" x14ac:dyDescent="0.25">
      <c r="H55" s="15"/>
      <c r="I55" s="15"/>
      <c r="J55" s="9"/>
      <c r="K55" s="15"/>
    </row>
    <row r="56" spans="8:11" x14ac:dyDescent="0.25">
      <c r="H56" s="15"/>
      <c r="I56" s="15"/>
      <c r="J56" s="9"/>
      <c r="K56" s="15"/>
    </row>
    <row r="57" spans="8:11" x14ac:dyDescent="0.25">
      <c r="J57" s="9"/>
      <c r="K57" s="15"/>
    </row>
    <row r="58" spans="8:11" x14ac:dyDescent="0.25">
      <c r="J58" s="9"/>
      <c r="K58" s="15"/>
    </row>
    <row r="59" spans="8:11" x14ac:dyDescent="0.25">
      <c r="J59" s="9"/>
      <c r="K59" s="15"/>
    </row>
    <row r="60" spans="8:11" x14ac:dyDescent="0.25">
      <c r="J60" s="9"/>
      <c r="K60" s="15"/>
    </row>
    <row r="61" spans="8:11" x14ac:dyDescent="0.25">
      <c r="J61" s="9"/>
      <c r="K61" s="15"/>
    </row>
    <row r="62" spans="8:11" x14ac:dyDescent="0.25">
      <c r="J62" s="9"/>
      <c r="K62" s="15"/>
    </row>
    <row r="63" spans="8:11" x14ac:dyDescent="0.25">
      <c r="J63" s="9"/>
      <c r="K63" s="15"/>
    </row>
    <row r="64" spans="8:11" x14ac:dyDescent="0.25">
      <c r="J64" s="9"/>
      <c r="K64" s="15"/>
    </row>
    <row r="65" spans="8:11" x14ac:dyDescent="0.25">
      <c r="J65" s="9"/>
      <c r="K65" s="15"/>
    </row>
    <row r="66" spans="8:11" x14ac:dyDescent="0.25">
      <c r="J66" s="9"/>
      <c r="K66" s="15"/>
    </row>
    <row r="67" spans="8:11" x14ac:dyDescent="0.25">
      <c r="J67" s="9"/>
      <c r="K67" s="15"/>
    </row>
    <row r="68" spans="8:11" x14ac:dyDescent="0.25">
      <c r="J68" s="9"/>
      <c r="K68" s="15"/>
    </row>
    <row r="69" spans="8:11" x14ac:dyDescent="0.25">
      <c r="H69" s="15"/>
      <c r="I69" s="15"/>
      <c r="J69" s="9"/>
      <c r="K69" s="15"/>
    </row>
    <row r="70" spans="8:11" x14ac:dyDescent="0.25">
      <c r="H70" s="15"/>
      <c r="I70" s="15"/>
      <c r="J70" s="9"/>
      <c r="K70" s="15"/>
    </row>
    <row r="71" spans="8:11" x14ac:dyDescent="0.25">
      <c r="J71" s="9"/>
      <c r="K71" s="15"/>
    </row>
    <row r="72" spans="8:11" x14ac:dyDescent="0.25">
      <c r="J72" s="9"/>
      <c r="K72" s="15"/>
    </row>
    <row r="73" spans="8:11" x14ac:dyDescent="0.25">
      <c r="J73" s="9"/>
      <c r="K73" s="15"/>
    </row>
    <row r="74" spans="8:11" x14ac:dyDescent="0.25">
      <c r="J74" s="9"/>
      <c r="K74" s="15"/>
    </row>
    <row r="75" spans="8:11" x14ac:dyDescent="0.25">
      <c r="J75" s="9"/>
      <c r="K75" s="15"/>
    </row>
    <row r="76" spans="8:11" x14ac:dyDescent="0.25">
      <c r="J76" s="9"/>
      <c r="K76" s="15"/>
    </row>
    <row r="77" spans="8:11" x14ac:dyDescent="0.25">
      <c r="J77" s="9"/>
      <c r="K77" s="15"/>
    </row>
    <row r="78" spans="8:11" x14ac:dyDescent="0.25">
      <c r="J78" s="9"/>
      <c r="K78" s="15"/>
    </row>
    <row r="79" spans="8:11" x14ac:dyDescent="0.25">
      <c r="H79" s="15"/>
      <c r="I79" s="15"/>
      <c r="J79" s="9"/>
      <c r="K79" s="15"/>
    </row>
    <row r="80" spans="8:11" x14ac:dyDescent="0.25">
      <c r="H80" s="15"/>
      <c r="I80" s="15"/>
      <c r="J80" s="9"/>
      <c r="K80" s="15"/>
    </row>
    <row r="81" spans="8:11" x14ac:dyDescent="0.25">
      <c r="H81" s="15"/>
      <c r="I81" s="15"/>
      <c r="J81" s="9"/>
      <c r="K81" s="15"/>
    </row>
    <row r="82" spans="8:11" x14ac:dyDescent="0.25">
      <c r="H82" s="15"/>
      <c r="I82" s="15"/>
      <c r="J82" s="9"/>
      <c r="K82" s="15"/>
    </row>
    <row r="83" spans="8:11" x14ac:dyDescent="0.25">
      <c r="H83" s="15"/>
      <c r="I83" s="15"/>
      <c r="J83" s="9"/>
      <c r="K83" s="15"/>
    </row>
    <row r="84" spans="8:11" x14ac:dyDescent="0.25">
      <c r="H84" s="15"/>
      <c r="I84" s="15"/>
      <c r="J84" s="9"/>
      <c r="K84" s="15"/>
    </row>
    <row r="85" spans="8:11" x14ac:dyDescent="0.25">
      <c r="H85" s="15"/>
      <c r="I85" s="15"/>
      <c r="J85" s="9"/>
      <c r="K85" s="15"/>
    </row>
    <row r="86" spans="8:11" x14ac:dyDescent="0.25">
      <c r="H86" s="15"/>
      <c r="I86" s="15"/>
      <c r="J86" s="9"/>
      <c r="K86" s="15"/>
    </row>
    <row r="87" spans="8:11" x14ac:dyDescent="0.25">
      <c r="H87" s="15"/>
      <c r="I87" s="15"/>
      <c r="J87" s="9"/>
      <c r="K87" s="15"/>
    </row>
    <row r="88" spans="8:11" x14ac:dyDescent="0.25">
      <c r="H88" s="15"/>
      <c r="I88" s="15"/>
      <c r="J88" s="9"/>
      <c r="K88" s="15"/>
    </row>
    <row r="89" spans="8:11" x14ac:dyDescent="0.25">
      <c r="H89" s="15"/>
      <c r="I89" s="15"/>
      <c r="J89" s="9"/>
      <c r="K89" s="15"/>
    </row>
    <row r="90" spans="8:11" x14ac:dyDescent="0.25">
      <c r="H90" s="15"/>
      <c r="I90" s="15"/>
      <c r="J90" s="9"/>
      <c r="K90" s="15"/>
    </row>
    <row r="91" spans="8:11" x14ac:dyDescent="0.25">
      <c r="H91" s="15"/>
      <c r="I91" s="15"/>
      <c r="J91" s="9"/>
      <c r="K91" s="15"/>
    </row>
    <row r="92" spans="8:11" x14ac:dyDescent="0.25">
      <c r="H92" s="15"/>
      <c r="I92" s="15"/>
      <c r="J92" s="9"/>
      <c r="K92" s="15"/>
    </row>
    <row r="93" spans="8:11" x14ac:dyDescent="0.25">
      <c r="H93" s="15"/>
      <c r="I93" s="15"/>
      <c r="J93" s="9"/>
      <c r="K93" s="15"/>
    </row>
    <row r="94" spans="8:11" x14ac:dyDescent="0.25">
      <c r="H94" s="15"/>
      <c r="I94" s="15"/>
      <c r="J94" s="9"/>
      <c r="K94" s="15"/>
    </row>
    <row r="95" spans="8:11" x14ac:dyDescent="0.25">
      <c r="J95" s="9"/>
      <c r="K95" s="15"/>
    </row>
    <row r="96" spans="8:11" x14ac:dyDescent="0.25">
      <c r="J96" s="9"/>
      <c r="K96" s="15"/>
    </row>
    <row r="97" spans="8:11" x14ac:dyDescent="0.25">
      <c r="J97" s="9"/>
      <c r="K97" s="15"/>
    </row>
    <row r="98" spans="8:11" x14ac:dyDescent="0.25">
      <c r="J98" s="9"/>
      <c r="K98" s="15"/>
    </row>
    <row r="99" spans="8:11" x14ac:dyDescent="0.25">
      <c r="J99" s="9"/>
      <c r="K99" s="15"/>
    </row>
    <row r="100" spans="8:11" x14ac:dyDescent="0.25">
      <c r="J100" s="9"/>
      <c r="K100" s="15"/>
    </row>
    <row r="101" spans="8:11" x14ac:dyDescent="0.25">
      <c r="J101" s="9"/>
      <c r="K101" s="15"/>
    </row>
    <row r="102" spans="8:11" x14ac:dyDescent="0.25">
      <c r="J102" s="9"/>
      <c r="K102" s="15"/>
    </row>
    <row r="103" spans="8:11" x14ac:dyDescent="0.25">
      <c r="J103" s="9"/>
      <c r="K103" s="15"/>
    </row>
    <row r="104" spans="8:11" x14ac:dyDescent="0.25">
      <c r="H104" s="15"/>
      <c r="I104" s="15"/>
      <c r="J104" s="9"/>
      <c r="K104" s="15"/>
    </row>
    <row r="105" spans="8:11" x14ac:dyDescent="0.25">
      <c r="H105" s="15"/>
      <c r="I105" s="15"/>
      <c r="J105" s="9"/>
      <c r="K105" s="15"/>
    </row>
    <row r="106" spans="8:11" x14ac:dyDescent="0.25">
      <c r="H106" s="15"/>
      <c r="I106" s="15"/>
      <c r="J106" s="9"/>
      <c r="K106" s="15"/>
    </row>
    <row r="107" spans="8:11" x14ac:dyDescent="0.25">
      <c r="H107" s="15"/>
      <c r="I107" s="15"/>
      <c r="J107" s="9"/>
      <c r="K107" s="15"/>
    </row>
    <row r="108" spans="8:11" x14ac:dyDescent="0.25">
      <c r="J108" s="9"/>
      <c r="K108" s="15"/>
    </row>
    <row r="109" spans="8:11" x14ac:dyDescent="0.25">
      <c r="J109" s="9"/>
      <c r="K109" s="15"/>
    </row>
    <row r="110" spans="8:11" x14ac:dyDescent="0.25">
      <c r="J110" s="9"/>
      <c r="K110" s="15"/>
    </row>
    <row r="111" spans="8:11" x14ac:dyDescent="0.25">
      <c r="J111" s="9"/>
      <c r="K111" s="15"/>
    </row>
    <row r="112" spans="8:11" x14ac:dyDescent="0.25">
      <c r="J112" s="9"/>
      <c r="K112" s="15"/>
    </row>
    <row r="113" spans="8:11" x14ac:dyDescent="0.25">
      <c r="J113" s="9"/>
      <c r="K113" s="15"/>
    </row>
    <row r="114" spans="8:11" x14ac:dyDescent="0.25">
      <c r="J114" s="9"/>
      <c r="K114" s="15"/>
    </row>
    <row r="115" spans="8:11" x14ac:dyDescent="0.25">
      <c r="J115" s="9"/>
      <c r="K115" s="15"/>
    </row>
    <row r="116" spans="8:11" x14ac:dyDescent="0.25">
      <c r="J116" s="9"/>
      <c r="K116" s="15"/>
    </row>
    <row r="117" spans="8:11" x14ac:dyDescent="0.25">
      <c r="J117" s="9"/>
      <c r="K117" s="15"/>
    </row>
    <row r="118" spans="8:11" x14ac:dyDescent="0.25">
      <c r="J118" s="9"/>
      <c r="K118" s="15"/>
    </row>
    <row r="119" spans="8:11" x14ac:dyDescent="0.25">
      <c r="J119" s="9"/>
      <c r="K119" s="15"/>
    </row>
    <row r="120" spans="8:11" x14ac:dyDescent="0.25">
      <c r="J120" s="9"/>
      <c r="K120" s="15"/>
    </row>
    <row r="121" spans="8:11" x14ac:dyDescent="0.25">
      <c r="J121" s="9"/>
      <c r="K121" s="15"/>
    </row>
    <row r="122" spans="8:11" x14ac:dyDescent="0.25">
      <c r="J122" s="9"/>
      <c r="K122" s="15"/>
    </row>
    <row r="123" spans="8:11" x14ac:dyDescent="0.25">
      <c r="J123" s="9"/>
      <c r="K123" s="15"/>
    </row>
    <row r="124" spans="8:11" x14ac:dyDescent="0.25">
      <c r="J124" s="9"/>
      <c r="K124" s="15"/>
    </row>
    <row r="125" spans="8:11" x14ac:dyDescent="0.25">
      <c r="H125" s="15"/>
      <c r="I125" s="15"/>
      <c r="J125" s="9"/>
      <c r="K125" s="15"/>
    </row>
    <row r="126" spans="8:11" x14ac:dyDescent="0.25">
      <c r="H126" s="15"/>
      <c r="I126" s="15"/>
      <c r="J126" s="9"/>
      <c r="K126" s="15"/>
    </row>
    <row r="127" spans="8:11" x14ac:dyDescent="0.25">
      <c r="H127" s="15"/>
      <c r="I127" s="15"/>
      <c r="J127" s="9"/>
      <c r="K127" s="15"/>
    </row>
    <row r="128" spans="8:11" x14ac:dyDescent="0.25">
      <c r="H128" s="15"/>
      <c r="I128" s="15"/>
      <c r="J128" s="9"/>
      <c r="K128" s="15"/>
    </row>
    <row r="129" spans="8:11" x14ac:dyDescent="0.25">
      <c r="H129" s="15"/>
      <c r="I129" s="15"/>
      <c r="J129" s="9"/>
      <c r="K129" s="15"/>
    </row>
    <row r="130" spans="8:11" x14ac:dyDescent="0.25">
      <c r="H130" s="15"/>
      <c r="I130" s="15"/>
      <c r="J130" s="9"/>
      <c r="K130" s="15"/>
    </row>
    <row r="131" spans="8:11" x14ac:dyDescent="0.25">
      <c r="H131" s="15"/>
      <c r="I131" s="15"/>
      <c r="J131" s="9"/>
      <c r="K131" s="15"/>
    </row>
    <row r="132" spans="8:11" x14ac:dyDescent="0.25">
      <c r="H132" s="15"/>
      <c r="I132" s="15"/>
      <c r="J132" s="9"/>
      <c r="K132" s="15"/>
    </row>
    <row r="133" spans="8:11" x14ac:dyDescent="0.25">
      <c r="H133" s="15"/>
      <c r="I133" s="15"/>
      <c r="J133" s="9"/>
      <c r="K133" s="15"/>
    </row>
    <row r="134" spans="8:11" x14ac:dyDescent="0.25">
      <c r="H134" s="15"/>
      <c r="I134" s="15"/>
      <c r="J134" s="9"/>
      <c r="K134" s="15"/>
    </row>
  </sheetData>
  <sheetProtection algorithmName="SHA-512" hashValue="QP7SAruUXzU7orItOA5euFUlpBmkeIYeozA5S9YNq5Wkuzlrf0suYTarwaIWZpIh4xFqeyHXQvHzBgmBcYEGYQ==" saltValue="XL+sXIqcOyYEf9i30nDpSQ==" spinCount="100000" sheet="1" objects="1" scenarios="1" formatColumns="0"/>
  <mergeCells count="25">
    <mergeCell ref="F15:F16"/>
    <mergeCell ref="G15:G16"/>
    <mergeCell ref="H15:H16"/>
    <mergeCell ref="I15:I16"/>
    <mergeCell ref="E5:J5"/>
    <mergeCell ref="H11:H12"/>
    <mergeCell ref="I11:I12"/>
    <mergeCell ref="F13:F14"/>
    <mergeCell ref="G13:G14"/>
    <mergeCell ref="H13:H14"/>
    <mergeCell ref="I13:I14"/>
    <mergeCell ref="F7:F8"/>
    <mergeCell ref="G7:G8"/>
    <mergeCell ref="H7:H8"/>
    <mergeCell ref="I7:I8"/>
    <mergeCell ref="F9:F10"/>
    <mergeCell ref="F11:F12"/>
    <mergeCell ref="G11:G12"/>
    <mergeCell ref="A1:J1"/>
    <mergeCell ref="A5:C5"/>
    <mergeCell ref="E6:F6"/>
    <mergeCell ref="A3:J3"/>
    <mergeCell ref="G9:G10"/>
    <mergeCell ref="H9:H10"/>
    <mergeCell ref="I9:I10"/>
  </mergeCells>
  <conditionalFormatting sqref="J7">
    <cfRule type="cellIs" dxfId="37" priority="38" operator="equal">
      <formula>"FAIL"</formula>
    </cfRule>
    <cfRule type="cellIs" dxfId="36" priority="39" operator="equal">
      <formula>"PASS"</formula>
    </cfRule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9">
    <cfRule type="cellIs" dxfId="35" priority="33" operator="equal">
      <formula>"FAIL"</formula>
    </cfRule>
    <cfRule type="cellIs" dxfId="34" priority="34" operator="equal">
      <formula>"PASS"</formula>
    </cfRule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">
    <cfRule type="cellIs" dxfId="33" priority="30" operator="equal">
      <formula>"FAIL"</formula>
    </cfRule>
    <cfRule type="cellIs" dxfId="32" priority="31" operator="equal">
      <formula>"PASS"</formula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0">
    <cfRule type="cellIs" dxfId="31" priority="27" operator="equal">
      <formula>"FAIL"</formula>
    </cfRule>
    <cfRule type="cellIs" dxfId="30" priority="28" operator="equal">
      <formula>"PASS"</formula>
    </cfRule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1">
    <cfRule type="cellIs" dxfId="29" priority="24" operator="equal">
      <formula>"FAIL"</formula>
    </cfRule>
    <cfRule type="cellIs" dxfId="28" priority="25" operator="equal">
      <formula>"PASS"</formula>
    </cfRule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2">
    <cfRule type="cellIs" dxfId="27" priority="21" operator="equal">
      <formula>"FAIL"</formula>
    </cfRule>
    <cfRule type="cellIs" dxfId="26" priority="22" operator="equal">
      <formula>"PASS"</formula>
    </cfRule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3">
    <cfRule type="cellIs" dxfId="25" priority="18" operator="equal">
      <formula>"FAIL"</formula>
    </cfRule>
    <cfRule type="cellIs" dxfId="24" priority="19" operator="equal">
      <formula>"PASS"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4">
    <cfRule type="cellIs" dxfId="23" priority="15" operator="equal">
      <formula>"FAIL"</formula>
    </cfRule>
    <cfRule type="cellIs" dxfId="22" priority="16" operator="equal">
      <formula>"PASS"</formula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5">
    <cfRule type="cellIs" dxfId="21" priority="12" operator="equal">
      <formula>"FAIL"</formula>
    </cfRule>
    <cfRule type="cellIs" dxfId="20" priority="13" operator="equal">
      <formula>"PASS"</formula>
    </cfRule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6">
    <cfRule type="cellIs" dxfId="19" priority="9" operator="equal">
      <formula>"FAIL"</formula>
    </cfRule>
    <cfRule type="cellIs" dxfId="18" priority="10" operator="equal">
      <formula>"PASS"</formula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7">
    <cfRule type="cellIs" dxfId="17" priority="3" operator="equal">
      <formula>"FAIL"</formula>
    </cfRule>
    <cfRule type="cellIs" dxfId="16" priority="4" operator="equal">
      <formula>"PASS"</formula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7">
    <cfRule type="cellIs" dxfId="15" priority="1" operator="equal">
      <formula>"PENDING"</formula>
    </cfRule>
    <cfRule type="cellIs" dxfId="14" priority="2" operator="equal">
      <formula>"COMPLETED"</formula>
    </cfRule>
  </conditionalFormatting>
  <pageMargins left="0.5" right="0.5" top="0.75" bottom="0.75" header="0.3" footer="0.3"/>
  <pageSetup paperSize="9" scale="76" orientation="landscape" r:id="rId1"/>
  <rowBreaks count="2" manualBreakCount="2">
    <brk id="56" max="9" man="1"/>
    <brk id="95" max="9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55"/>
  <sheetViews>
    <sheetView showGridLines="0" tabSelected="1" zoomScale="70" zoomScaleNormal="70" zoomScalePageLayoutView="70" workbookViewId="0">
      <pane xSplit="1" ySplit="5" topLeftCell="B7" activePane="bottomRight" state="frozen"/>
      <selection pane="topRight" activeCell="B1" sqref="B1"/>
      <selection pane="bottomLeft" activeCell="A5" sqref="A5"/>
      <selection pane="bottomRight"/>
    </sheetView>
  </sheetViews>
  <sheetFormatPr defaultColWidth="8.7109375" defaultRowHeight="15" x14ac:dyDescent="0.25"/>
  <cols>
    <col min="1" max="1" width="8.7109375" style="57"/>
    <col min="2" max="3" width="30.42578125" style="13" customWidth="1"/>
    <col min="4" max="4" width="24.28515625" style="18" hidden="1" customWidth="1"/>
    <col min="5" max="6" width="30.42578125" style="13" customWidth="1"/>
    <col min="7" max="7" width="24.28515625" style="13" hidden="1" customWidth="1"/>
    <col min="8" max="9" width="30.42578125" style="13" customWidth="1"/>
    <col min="10" max="10" width="24.28515625" style="13" hidden="1" customWidth="1"/>
    <col min="11" max="12" width="30.42578125" style="13" customWidth="1"/>
    <col min="13" max="13" width="24.28515625" style="13" hidden="1" customWidth="1"/>
    <col min="14" max="15" width="30.42578125" style="13" customWidth="1"/>
    <col min="16" max="16" width="24.28515625" style="13" hidden="1" customWidth="1"/>
    <col min="17" max="18" width="30.42578125" style="13" customWidth="1"/>
    <col min="19" max="19" width="24.28515625" style="13" hidden="1" customWidth="1"/>
    <col min="20" max="21" width="30.42578125" style="13" customWidth="1"/>
    <col min="22" max="16384" width="8.7109375" style="13"/>
  </cols>
  <sheetData>
    <row r="1" spans="1:26" ht="18.75" x14ac:dyDescent="0.25">
      <c r="A1" s="42" t="s">
        <v>51</v>
      </c>
      <c r="E1" s="62" t="str">
        <f>IF(ISBLANK('Country profile'!E4:I4),"",UPPER('Country profile'!E4:I4))</f>
        <v>NIGERIA</v>
      </c>
      <c r="F1" s="63">
        <f>IF(ISBLANK('Country profile'!F14:I14),"",'Country profile'!F14:I14)</f>
        <v>42550</v>
      </c>
    </row>
    <row r="2" spans="1:26" x14ac:dyDescent="0.25">
      <c r="A2" s="14" t="s">
        <v>50</v>
      </c>
    </row>
    <row r="4" spans="1:26" x14ac:dyDescent="0.25">
      <c r="A4" s="298" t="s">
        <v>0</v>
      </c>
      <c r="B4" s="300" t="s">
        <v>31</v>
      </c>
      <c r="C4" s="301"/>
      <c r="D4" s="25"/>
      <c r="E4" s="300" t="s">
        <v>44</v>
      </c>
      <c r="F4" s="301"/>
      <c r="G4" s="26"/>
      <c r="H4" s="300" t="s">
        <v>33</v>
      </c>
      <c r="I4" s="301"/>
      <c r="J4" s="26"/>
      <c r="K4" s="300" t="s">
        <v>46</v>
      </c>
      <c r="L4" s="301"/>
      <c r="M4" s="66"/>
      <c r="N4" s="300" t="s">
        <v>45</v>
      </c>
      <c r="O4" s="301"/>
      <c r="P4" s="26"/>
      <c r="Q4" s="300" t="s">
        <v>36</v>
      </c>
      <c r="R4" s="301"/>
      <c r="S4" s="26"/>
      <c r="T4" s="300" t="s">
        <v>37</v>
      </c>
      <c r="U4" s="301"/>
    </row>
    <row r="5" spans="1:26" s="16" customFormat="1" x14ac:dyDescent="0.25">
      <c r="A5" s="299"/>
      <c r="B5" s="27" t="s">
        <v>330</v>
      </c>
      <c r="C5" s="28" t="s">
        <v>43</v>
      </c>
      <c r="D5" s="29"/>
      <c r="E5" s="27" t="s">
        <v>330</v>
      </c>
      <c r="F5" s="28" t="s">
        <v>43</v>
      </c>
      <c r="G5" s="30"/>
      <c r="H5" s="27" t="s">
        <v>330</v>
      </c>
      <c r="I5" s="31" t="s">
        <v>43</v>
      </c>
      <c r="J5" s="30"/>
      <c r="K5" s="27" t="s">
        <v>330</v>
      </c>
      <c r="L5" s="28" t="s">
        <v>43</v>
      </c>
      <c r="M5" s="32"/>
      <c r="N5" s="27" t="s">
        <v>330</v>
      </c>
      <c r="O5" s="31" t="s">
        <v>43</v>
      </c>
      <c r="P5" s="30"/>
      <c r="Q5" s="27" t="s">
        <v>330</v>
      </c>
      <c r="R5" s="28" t="s">
        <v>43</v>
      </c>
      <c r="S5" s="30"/>
      <c r="T5" s="27" t="s">
        <v>330</v>
      </c>
      <c r="U5" s="31" t="s">
        <v>43</v>
      </c>
    </row>
    <row r="6" spans="1:26" s="17" customFormat="1" ht="63.75" x14ac:dyDescent="0.25">
      <c r="A6" s="58">
        <v>0</v>
      </c>
      <c r="B6" s="216" t="str">
        <f t="array" ref="B6">IF(ROWS(B$6:B6)&lt;=$A$7,INDEX(Legislation!$C$5:$C$19,SMALL(IF(STAGE=0,IF(STATUS=0,ROW(STATUS)-ROW(Legislation!$E$5)+1)),ROWS(B$6:B6))),"")</f>
        <v>A case definition consistent with OIE for animal rabies is available</v>
      </c>
      <c r="C6" s="217" t="str">
        <f t="array" ref="C6">IF(ROWS(C$6:C6)&lt;=$A$8,INDEX(Legislation!$C$5:$C$19,SMALL(IF(STAGE=0,IF(STATUS=1,ROW(STATUS)-ROW(Legislation!$E$5)+1)),ROWS(C$6:C6))),"")</f>
        <v xml:space="preserve">The national authority reports at least one confirmed rabies case to WHO or OIE </v>
      </c>
      <c r="D6" s="218"/>
      <c r="E6" s="216" t="str">
        <f>IF(ROWS(E$6:E6)&lt;=$D$7,INDEX('Data coll &amp; ax'!$C$5:$C$22,SMALL(IF(datastage=0,IF(datastatus=0,ROW(datastatus)-ROW('Data coll &amp; ax'!$E$5)+1)),ROWS(E$6:E6))),"")</f>
        <v/>
      </c>
      <c r="F6" s="217" t="str">
        <f>IF(ROWS(F$6:F6)&lt;=$D$8,INDEX('Data coll &amp; ax'!$C$5:$C$22,SMALL(IF(datastage=0,IF(datastatus=1,ROW(datastatus)-ROW('Data coll &amp; ax'!$E$5)+1)),ROWS(F$6:F6))),"")</f>
        <v/>
      </c>
      <c r="G6" s="219"/>
      <c r="H6" s="220" t="str">
        <f t="array" ref="H6">IF(ROWS(H$6:H6)&lt;=$G$7,INDEX('Lab dx'!$C$5:$C$15,SMALL(IF(labstage=0,IF(labstatus=0,ROW(labstatus)-ROW('Lab dx'!$E$5)+1)),ROWS(H$6:H6))),"")</f>
        <v/>
      </c>
      <c r="I6" s="221" t="str">
        <f t="array" ref="I6">IF(ROWS(I$6:I6)&lt;=$G$8,INDEX('Lab dx'!$C$5:$C$15,SMALL(IF(labstage=0,IF(labstatus=1,ROW(labstatus)-ROW('Lab dx'!$F$5)+1)),ROWS(I$6:I6))),"")</f>
        <v>Contacts with an international rabies reference laboratory or international collaborating/reference center are established</v>
      </c>
      <c r="J6" s="219"/>
      <c r="K6" s="216" t="str">
        <f t="array" ref="K6">IF(ROWS(K$6:K6)&lt;=$J$7,INDEX(IEC!$C$5:$C$21,SMALL(IF(iecstage=0,IF(iecstatus=0,ROW(iecstatus)-ROW(IEC!$E$5)+1)),ROWS(K$6:K6))),"")</f>
        <v/>
      </c>
      <c r="L6" s="217" t="str">
        <f t="array" ref="L6">IF(ROWS(L$6:L6)&lt;=$J$8,INDEX(IEC!$C$5:$C$21,SMALL(IF(iecstage=0,IF(iecstatus=1,ROW(iecstatus)-ROW(IEC!$E$5)+1)),ROWS(L$6:L6))),"")</f>
        <v/>
      </c>
      <c r="M6" s="222"/>
      <c r="N6" s="220" t="str">
        <f t="array" ref="N6">IF(ROWS(N$6:N6)&lt;=$M$7,INDEX('Prev &amp; Ctrl'!$C$5:$C$29,SMALL(IF(prevstage=0,IF(prevstatus=0,ROW(prevstatus)-ROW('Prev &amp; Ctrl'!$E$5)+1)),ROWS(N$6:N6))),"")</f>
        <v/>
      </c>
      <c r="O6" s="221" t="str">
        <f t="array" ref="O6">IF(ROWS(O$6:O6)&lt;=$M$8,INDEX('Prev &amp; Ctrl'!$C$5:$C$29,SMALL(IF(prevstage=0,IF(prevstatus=1,ROW(prevstatus)-ROW('Prev &amp; Ctrl'!$E$5)+1)),ROWS(O$6:O6))),"")</f>
        <v/>
      </c>
      <c r="P6" s="219"/>
      <c r="Q6" s="216" t="str">
        <f t="array" ref="Q6">IF(ROWS(Q$6:Q6)&lt;=$P$7,INDEX('Dog popn'!$C$5:C9,SMALL(IF(dogstage=0,IF(dogstatus=0,ROW(dogstatus)-ROW('Dog popn'!$E$5)+1)),ROWS(Q$6:Q6))),"")</f>
        <v/>
      </c>
      <c r="R6" s="217" t="str">
        <f t="array" ref="R6">IF(ROWS(R$6:R6)&lt;=$P$8,INDEX('Dog popn'!$C$5:$C$9,SMALL(IF(dogstage=0,IF(dogstatus=1,ROW(dogstatus)-ROW('Dog popn'!$E$5)+1)),ROWS(R$6:R6))),"")</f>
        <v/>
      </c>
      <c r="S6" s="219"/>
      <c r="T6" s="220" t="str">
        <f t="array" ref="T6">IF(ROWS(T$6:T6)&lt;=$S$7,INDEX('Cross-cutting issues'!$C$5:$C$16,SMALL(IF(crossstage=0,IF(crossstatus=0,ROW(crossstatus)-ROW('Cross-cutting issues'!$E$5)+1)),ROWS(T$6:T6))),"")</f>
        <v xml:space="preserve">Result of rabies sample(s) are shared appropriately with local and national authorities </v>
      </c>
      <c r="U6" s="221" t="str">
        <f t="array" ref="U6">IF(ROWS(U$6:U6)&lt;=$S$8,INDEX('Cross-cutting issues'!$C$5:$C$16,SMALL(IF(crossstage=0,IF(crossstatus=1,ROW(crossstatus)-ROW('Cross-cutting issues'!$E$5)+1)),ROWS(U$6:U6))),"")</f>
        <v/>
      </c>
      <c r="Z6" s="106"/>
    </row>
    <row r="7" spans="1:26" s="17" customFormat="1" ht="51" x14ac:dyDescent="0.25">
      <c r="A7" s="48">
        <f>SUMPRODUCT((STAGE=0)*(STATUS=0))</f>
        <v>2</v>
      </c>
      <c r="B7" s="223" t="str">
        <f t="array" ref="B7">IF(ROWS(B$6:B7)&lt;=$A$7,INDEX(Legislation!$C$5:$C$19,SMALL(IF(STAGE=0,IF(STATUS=0,ROW(STATUS)-ROW(Legislation!$E$5)+1)),ROWS(B$6:B7))),"")</f>
        <v>A case definition consistent with WHO for human rabies is available</v>
      </c>
      <c r="C7" s="224" t="str">
        <f t="array" ref="C7">IF(ROWS(C$6:C7)&lt;=$A$8,INDEX(Legislation!$C$5:$C$19,SMALL(IF(STAGE=0,IF(STATUS=1,ROW(STATUS)-ROW(Legislation!$E$5)+1)),ROWS(C$6:C7))),"")</f>
        <v/>
      </c>
      <c r="D7" s="225">
        <f>SUMPRODUCT((datastage=0)*(datastatus=0))</f>
        <v>0</v>
      </c>
      <c r="E7" s="223" t="str">
        <f>IF(ROWS(E$6:E7)&lt;=$D$7,INDEX('Data coll &amp; ax'!$C$5:$C$22,SMALL(IF(datastage=0,IF(datastatus=0,ROW(datastatus)-ROW('Data coll &amp; ax'!$E$5)+1)),ROWS(E$6:E7))),"")</f>
        <v/>
      </c>
      <c r="F7" s="224" t="str">
        <f>IF(ROWS(F$6:F7)&lt;=$D$8,INDEX('Data coll &amp; ax'!$C$5:$C$22,SMALL(IF(datastage=0,IF(datastatus=1,ROW(datastatus)-ROW('Data coll &amp; ax'!$E$5)+1)),ROWS(F$6:F7))),"")</f>
        <v/>
      </c>
      <c r="G7" s="226">
        <f>SUMPRODUCT((labstage=0)*(labstatus=0))</f>
        <v>0</v>
      </c>
      <c r="H7" s="227" t="str">
        <f t="array" ref="H7">IF(ROWS(H$6:H7)&lt;=$G$7,INDEX('Lab dx'!$C$5:$C$15,SMALL(IF(labstage=0,IF(labstatus=0,ROW(labstatus)-ROW('Lab dx'!$E$5)+1)),ROWS(H$6:H7))),"")</f>
        <v/>
      </c>
      <c r="I7" s="228" t="str">
        <f t="array" ref="I7">IF(ROWS(I$6:I7)&lt;=$G$8,INDEX('Lab dx'!$C$5:$C$15,SMALL(IF(labstage=0,IF(labstatus=1,ROW(labstatus)-ROW('Lab dx'!$F$5)+1)),ROWS(I$6:I7))),"")</f>
        <v xml:space="preserve">At least one rabies suspect sample of animals or humans is submitted to an international rabies reference laboratory for confirmation </v>
      </c>
      <c r="J7" s="226">
        <f>SUMPRODUCT((iecstage=0)*(iecstatus=0))</f>
        <v>0</v>
      </c>
      <c r="K7" s="229" t="str">
        <f t="array" ref="K7">IF(ROWS(K$6:K7)&lt;=$J$7,INDEX(IEC!$C$5:$C$21,SMALL(IF(iecstage=0,IF(iecstatus=0,ROW(iecstatus)-ROW(IEC!$E$5)+1)),ROWS(K$6:K7))),"")</f>
        <v/>
      </c>
      <c r="L7" s="224" t="str">
        <f t="array" ref="L7">IF(ROWS(L$6:L7)&lt;=$J$8,INDEX(IEC!$C$5:$C$21,SMALL(IF(iecstage=0,IF(iecstatus=1,ROW(iecstatus)-ROW(IEC!$E$5)+1)),ROWS(L$6:L7))),"")</f>
        <v/>
      </c>
      <c r="M7" s="230">
        <f>SUMPRODUCT((prevstage=0)*(prevstatus=0))</f>
        <v>0</v>
      </c>
      <c r="N7" s="227" t="str">
        <f t="array" ref="N7">IF(ROWS(N$6:N7)&lt;=$M$7,INDEX('Prev &amp; Ctrl'!$C$5:$C$29,SMALL(IF(prevstage=0,IF(prevstatus=0,ROW(prevstatus)-ROW('Prev &amp; Ctrl'!$E$5)+1)),ROWS(N$6:N7))),"")</f>
        <v/>
      </c>
      <c r="O7" s="228" t="str">
        <f t="array" ref="O7">IF(ROWS(O$6:O7)&lt;=$M$8,INDEX('Prev &amp; Ctrl'!$C$5:$C$29,SMALL(IF(prevstage=0,IF(prevstatus=1,ROW(prevstatus)-ROW('Prev &amp; Ctrl'!$E$5)+1)),ROWS(O$6:O7))),"")</f>
        <v/>
      </c>
      <c r="P7" s="226">
        <f>SUMPRODUCT((dogstage=0)*(dogstatus=0))</f>
        <v>0</v>
      </c>
      <c r="Q7" s="229" t="str">
        <f t="array" ref="Q7">IF(ROWS(Q$6:Q7)&lt;=$P$7,INDEX('Dog popn'!$C$5:C10,SMALL(IF(dogstage=0,IF(dogstatus=0,ROW(dogstatus)-ROW('Dog popn'!$E$5)+1)),ROWS(Q$6:Q7))),"")</f>
        <v/>
      </c>
      <c r="R7" s="224" t="str">
        <f t="array" ref="R7">IF(ROWS(R$6:R7)&lt;=$P$8,INDEX('Dog popn'!$C$5:$C$9,SMALL(IF(dogstage=0,IF(dogstatus=1,ROW(dogstatus)-ROW('Dog popn'!$E$5)+1)),ROWS(R$6:R7))),"")</f>
        <v/>
      </c>
      <c r="S7" s="226">
        <f>SUMPRODUCT((crossstage=0)*(crossstatus=0))</f>
        <v>1</v>
      </c>
      <c r="T7" s="227" t="str">
        <f t="array" ref="T7">IF(ROWS(T$6:T7)&lt;=$S$7,INDEX('Cross-cutting issues'!$C$5:$C$16,SMALL(IF(crossstage=0,IF(crossstatus=0,ROW(crossstatus)-ROW('Cross-cutting issues'!$E$5)+1)),ROWS(T$6:T7))),"")</f>
        <v/>
      </c>
      <c r="U7" s="228" t="str">
        <f t="array" ref="U7">IF(ROWS(U$6:U7)&lt;=$S$8,INDEX('Cross-cutting issues'!$C$5:$C$16,SMALL(IF(crossstage=0,IF(crossstatus=1,ROW(crossstatus)-ROW('Cross-cutting issues'!$E$5)+1)),ROWS(U$6:U7))),"")</f>
        <v/>
      </c>
      <c r="Z7" s="106"/>
    </row>
    <row r="8" spans="1:26" s="17" customFormat="1" ht="63.75" x14ac:dyDescent="0.25">
      <c r="A8" s="48">
        <f>SUMPRODUCT((STAGE=0)*(STATUS=1))</f>
        <v>1</v>
      </c>
      <c r="B8" s="229" t="str">
        <f t="array" ref="B8">IF(ROWS(B$6:B8)&lt;=$A$7,INDEX(Legislation!$C$5:$C$19,SMALL(IF(STAGE=0,IF(STATUS=0,ROW(STATUS)-ROW(Legislation!$E$5)+1)),ROWS(B$6:B8))),"")</f>
        <v/>
      </c>
      <c r="C8" s="224" t="str">
        <f t="array" ref="C8">IF(ROWS(C$6:C8)&lt;=$A$8,INDEX(Legislation!$C$5:$C$19,SMALL(IF(STAGE=0,IF(STATUS=1,ROW(STATUS)-ROW(Legislation!$E$5)+1)),ROWS(C$6:C8))),"")</f>
        <v/>
      </c>
      <c r="D8" s="225">
        <f>SUMPRODUCT((datastage=0)*(datastatus=1))</f>
        <v>0</v>
      </c>
      <c r="E8" s="229" t="str">
        <f>IF(ROWS(E$6:E8)&lt;=$D$7,INDEX('Data coll &amp; ax'!$C$5:$C$22,SMALL(IF(datastage=0,IF(datastatus=0,ROW(datastatus)-ROW('Data coll &amp; ax'!$E$5)+1)),ROWS(E$6:E8))),"")</f>
        <v/>
      </c>
      <c r="F8" s="224" t="str">
        <f>IF(ROWS(F$6:F8)&lt;=$D$8,INDEX('Data coll &amp; ax'!$C$5:$C$22,SMALL(IF(datastage=0,IF(datastatus=1,ROW(datastatus)-ROW('Data coll &amp; ax'!$E$5)+1)),ROWS(F$6:F8))),"")</f>
        <v/>
      </c>
      <c r="G8" s="226">
        <f>SUMPRODUCT((labstage=0)*(labstatus=1))</f>
        <v>3</v>
      </c>
      <c r="H8" s="227" t="str">
        <f t="array" ref="H8">IF(ROWS(H$6:H8)&lt;=$G$7,INDEX('Lab dx'!$C$5:$C$15,SMALL(IF(labstage=0,IF(labstatus=0,ROW(labstatus)-ROW('Lab dx'!$E$5)+1)),ROWS(H$6:H8))),"")</f>
        <v/>
      </c>
      <c r="I8" s="228" t="str">
        <f t="array" ref="I8">IF(ROWS(I$6:I8)&lt;=$G$8,INDEX('Lab dx'!$C$5:$C$15,SMALL(IF(labstage=0,IF(labstatus=1,ROW(labstatus)-ROW('Lab dx'!$F$5)+1)),ROWS(I$6:I8))),"")</f>
        <v xml:space="preserve">Several rabies suspect samples of animals or humans are submitted to a national laboratory and analysed by an internationally recommended method  </v>
      </c>
      <c r="J8" s="226">
        <f>SUMPRODUCT((iecstage=0)*(iecstatus=1))</f>
        <v>0</v>
      </c>
      <c r="K8" s="229" t="str">
        <f t="array" ref="K8">IF(ROWS(K$6:K8)&lt;=$J$7,INDEX(IEC!$C$5:$C$21,SMALL(IF(iecstage=0,IF(iecstatus=0,ROW(iecstatus)-ROW(IEC!$E$5)+1)),ROWS(K$6:K8))),"")</f>
        <v/>
      </c>
      <c r="L8" s="224" t="str">
        <f t="array" ref="L8">IF(ROWS(L$6:L8)&lt;=$J$8,INDEX(IEC!$C$5:$C$21,SMALL(IF(iecstage=0,IF(iecstatus=1,ROW(iecstatus)-ROW(IEC!$E$5)+1)),ROWS(L$6:L8))),"")</f>
        <v/>
      </c>
      <c r="M8" s="230">
        <f>SUMPRODUCT((prevstage=0)*(prevstatus=1))</f>
        <v>0</v>
      </c>
      <c r="N8" s="227" t="str">
        <f t="array" ref="N8">IF(ROWS(N$6:N8)&lt;=$M$7,INDEX('Prev &amp; Ctrl'!$C$5:$C$29,SMALL(IF(prevstage=0,IF(prevstatus=0,ROW(prevstatus)-ROW('Prev &amp; Ctrl'!$E$5)+1)),ROWS(N$6:N8))),"")</f>
        <v/>
      </c>
      <c r="O8" s="228" t="str">
        <f t="array" ref="O8">IF(ROWS(O$6:O8)&lt;=$M$8,INDEX('Prev &amp; Ctrl'!$C$5:$C$29,SMALL(IF(prevstage=0,IF(prevstatus=1,ROW(prevstatus)-ROW('Prev &amp; Ctrl'!$E$5)+1)),ROWS(O$6:O8))),"")</f>
        <v/>
      </c>
      <c r="P8" s="226">
        <f>SUMPRODUCT((dogstage=0)*(dogstatus=1))</f>
        <v>0</v>
      </c>
      <c r="Q8" s="229" t="str">
        <f t="array" ref="Q8">IF(ROWS(Q$6:Q8)&lt;=$P$7,INDEX('Dog popn'!$C$5:C11,SMALL(IF(dogstage=0,IF(dogstatus=0,ROW(dogstatus)-ROW('Dog popn'!$E$5)+1)),ROWS(Q$6:Q8))),"")</f>
        <v/>
      </c>
      <c r="R8" s="224" t="str">
        <f t="array" ref="R8">IF(ROWS(R$6:R8)&lt;=$P$8,INDEX('Dog popn'!$C$5:$C$9,SMALL(IF(dogstage=0,IF(dogstatus=1,ROW(dogstatus)-ROW('Dog popn'!$E$5)+1)),ROWS(R$6:R8))),"")</f>
        <v/>
      </c>
      <c r="S8" s="226">
        <f>SUMPRODUCT((crossstage=0)*(crossstatus=1))</f>
        <v>0</v>
      </c>
      <c r="T8" s="227" t="str">
        <f t="array" ref="T8">IF(ROWS(T$6:T8)&lt;=$S$7,INDEX('Cross-cutting issues'!$C$5:$C$16,SMALL(IF(crossstage=0,IF(crossstatus=0,ROW(crossstatus)-ROW('Cross-cutting issues'!$E$5)+1)),ROWS(T$6:T8))),"")</f>
        <v/>
      </c>
      <c r="U8" s="228" t="str">
        <f t="array" ref="U8">IF(ROWS(U$6:U8)&lt;=$S$8,INDEX('Cross-cutting issues'!$C$5:$C$16,SMALL(IF(crossstage=0,IF(crossstatus=1,ROW(crossstatus)-ROW('Cross-cutting issues'!$E$5)+1)),ROWS(U$6:U8))),"")</f>
        <v/>
      </c>
      <c r="Z8" s="106"/>
    </row>
    <row r="9" spans="1:26" s="17" customFormat="1" ht="12.75" x14ac:dyDescent="0.25">
      <c r="A9" s="49"/>
      <c r="B9" s="229" t="str">
        <f t="array" ref="B9">IF(ROWS(B$6:B9)&lt;=$A$7,INDEX(Legislation!$C$5:$C$19,SMALL(IF(STAGE=0,IF(STATUS=0,ROW(STATUS)-ROW(Legislation!$E$5)+1)),ROWS(B$6:B9))),"")</f>
        <v/>
      </c>
      <c r="C9" s="224" t="str">
        <f t="array" ref="C9">IF(ROWS(C$6:C9)&lt;=$A$8,INDEX(Legislation!$C$5:$C$19,SMALL(IF(STAGE=0,IF(STATUS=1,ROW(STATUS)-ROW(Legislation!$E$5)+1)),ROWS(C$6:C9))),"")</f>
        <v/>
      </c>
      <c r="D9" s="225"/>
      <c r="E9" s="229" t="str">
        <f>IF(ROWS(E$6:E9)&lt;=$D$7,INDEX('Data coll &amp; ax'!$C$5:$C$22,SMALL(IF(datastage=0,IF(datastatus=0,ROW(datastatus)-ROW('Data coll &amp; ax'!$E$5)+1)),ROWS(E$6:E9))),"")</f>
        <v/>
      </c>
      <c r="F9" s="224" t="str">
        <f>IF(ROWS(F$6:F9)&lt;=$D$8,INDEX('Data coll &amp; ax'!$C$5:$C$22,SMALL(IF(datastage=0,IF(datastatus=1,ROW(datastatus)-ROW('Data coll &amp; ax'!$E$5)+1)),ROWS(F$6:F9))),"")</f>
        <v/>
      </c>
      <c r="G9" s="226"/>
      <c r="H9" s="227" t="str">
        <f t="array" ref="H9">IF(ROWS(H$6:H9)&lt;=$G$7,INDEX('Lab dx'!$C$5:$C$15,SMALL(IF(labstage=0,IF(labstatus=0,ROW(labstatus)-ROW('Lab dx'!$E$5)+1)),ROWS(H$6:H9))),"")</f>
        <v/>
      </c>
      <c r="I9" s="228" t="str">
        <f t="array" ref="I9">IF(ROWS(I$6:I9)&lt;=$G$8,INDEX('Lab dx'!$C$5:$C$15,SMALL(IF(labstage=0,IF(labstatus=1,ROW(labstatus)-ROW('Lab dx'!$F$5)+1)),ROWS(I$6:I9))),"")</f>
        <v/>
      </c>
      <c r="J9" s="226"/>
      <c r="K9" s="229" t="str">
        <f t="array" ref="K9">IF(ROWS(K$6:K9)&lt;=$J$7,INDEX(IEC!$C$5:$C$21,SMALL(IF(iecstage=0,IF(iecstatus=0,ROW(iecstatus)-ROW(IEC!$E$5)+1)),ROWS(K$6:K9))),"")</f>
        <v/>
      </c>
      <c r="L9" s="224" t="str">
        <f t="array" ref="L9">IF(ROWS(L$6:L9)&lt;=$J$8,INDEX(IEC!$C$5:$C$21,SMALL(IF(iecstage=0,IF(iecstatus=1,ROW(iecstatus)-ROW(IEC!$E$5)+1)),ROWS(L$6:L9))),"")</f>
        <v/>
      </c>
      <c r="M9" s="230"/>
      <c r="N9" s="227" t="str">
        <f t="array" ref="N9">IF(ROWS(N$6:N9)&lt;=$M$7,INDEX('Prev &amp; Ctrl'!$C$5:$C$29,SMALL(IF(prevstage=0,IF(prevstatus=0,ROW(prevstatus)-ROW('Prev &amp; Ctrl'!$E$5)+1)),ROWS(N$6:N9))),"")</f>
        <v/>
      </c>
      <c r="O9" s="228" t="str">
        <f t="array" ref="O9">IF(ROWS(O$6:O9)&lt;=$M$8,INDEX('Prev &amp; Ctrl'!$C$5:$C$29,SMALL(IF(prevstage=0,IF(prevstatus=1,ROW(prevstatus)-ROW('Prev &amp; Ctrl'!$E$5)+1)),ROWS(O$6:O9))),"")</f>
        <v/>
      </c>
      <c r="P9" s="226"/>
      <c r="Q9" s="229" t="str">
        <f t="array" ref="Q9">IF(ROWS(Q$6:Q9)&lt;=$P$7,INDEX('Dog popn'!$C$5:C12,SMALL(IF(dogstage=0,IF(dogstatus=0,ROW(dogstatus)-ROW('Dog popn'!$E$5)+1)),ROWS(Q$6:Q9))),"")</f>
        <v/>
      </c>
      <c r="R9" s="224" t="str">
        <f t="array" ref="R9">IF(ROWS(R$6:R9)&lt;=$P$8,INDEX('Dog popn'!$C$5:$C$9,SMALL(IF(dogstage=0,IF(dogstatus=1,ROW(dogstatus)-ROW('Dog popn'!$E$5)+1)),ROWS(R$6:R9))),"")</f>
        <v/>
      </c>
      <c r="S9" s="226"/>
      <c r="T9" s="227" t="str">
        <f t="array" ref="T9">IF(ROWS(T$6:T9)&lt;=$S$7,INDEX('Cross-cutting issues'!$C$5:$C$16,SMALL(IF(crossstage=0,IF(crossstatus=0,ROW(crossstatus)-ROW('Cross-cutting issues'!$E$5)+1)),ROWS(T$6:T9))),"")</f>
        <v/>
      </c>
      <c r="U9" s="228" t="str">
        <f t="array" ref="U9">IF(ROWS(U$6:U9)&lt;=$S$8,INDEX('Cross-cutting issues'!$C$5:$C$16,SMALL(IF(crossstage=0,IF(crossstatus=1,ROW(crossstatus)-ROW('Cross-cutting issues'!$E$5)+1)),ROWS(U$6:U9))),"")</f>
        <v/>
      </c>
      <c r="Z9" s="106"/>
    </row>
    <row r="10" spans="1:26" s="17" customFormat="1" ht="12.75" x14ac:dyDescent="0.25">
      <c r="A10" s="50"/>
      <c r="B10" s="231" t="str">
        <f t="array" ref="B10">IF(ROWS(B$6:B10)&lt;=$A$7,INDEX(Legislation!$C$5:$C$19,SMALL(IF(STAGE=0,IF(STATUS=0,ROW(STATUS)-ROW(Legislation!$E$5)+1)),ROWS(B$6:B10))),"")</f>
        <v/>
      </c>
      <c r="C10" s="232" t="str">
        <f t="array" ref="C10">IF(ROWS(C$6:C10)&lt;=$A$8,INDEX(Legislation!$C$5:$C$19,SMALL(IF(STAGE=0,IF(STATUS=1,ROW(STATUS)-ROW(Legislation!$E$5)+1)),ROWS(C$6:C10))),"")</f>
        <v/>
      </c>
      <c r="D10" s="233"/>
      <c r="E10" s="231" t="str">
        <f>IF(ROWS(E$6:E10)&lt;=$D$7,INDEX('Data coll &amp; ax'!$C$5:$C$22,SMALL(IF(datastage=0,IF(datastatus=0,ROW(datastatus)-ROW('Data coll &amp; ax'!$E$5)+1)),ROWS(E$6:E10))),"")</f>
        <v/>
      </c>
      <c r="F10" s="232" t="str">
        <f>IF(ROWS(F$6:F10)&lt;=$D$8,INDEX('Data coll &amp; ax'!$C$5:$C$22,SMALL(IF(datastage=0,IF(datastatus=1,ROW(datastatus)-ROW('Data coll &amp; ax'!$E$5)+1)),ROWS(F$6:F10))),"")</f>
        <v/>
      </c>
      <c r="G10" s="234"/>
      <c r="H10" s="235" t="str">
        <f t="array" ref="H10">IF(ROWS(H$6:H10)&lt;=$G$7,INDEX('Lab dx'!$C$5:$C$15,SMALL(IF(labstage=0,IF(labstatus=0,ROW(labstatus)-ROW('Lab dx'!$E$5)+1)),ROWS(H$6:H10))),"")</f>
        <v/>
      </c>
      <c r="I10" s="236" t="str">
        <f t="array" ref="I10">IF(ROWS(I$6:I10)&lt;=$G$8,INDEX('Lab dx'!$C$5:$C$15,SMALL(IF(labstage=0,IF(labstatus=1,ROW(labstatus)-ROW('Lab dx'!$F$5)+1)),ROWS(I$6:I10))),"")</f>
        <v/>
      </c>
      <c r="J10" s="234"/>
      <c r="K10" s="231" t="str">
        <f t="array" ref="K10">IF(ROWS(K$6:K10)&lt;=$J$7,INDEX(IEC!$C$5:$C$21,SMALL(IF(iecstage=0,IF(iecstatus=0,ROW(iecstatus)-ROW(IEC!$E$5)+1)),ROWS(K$6:K10))),"")</f>
        <v/>
      </c>
      <c r="L10" s="232" t="str">
        <f t="array" ref="L10">IF(ROWS(L$6:L10)&lt;=$J$8,INDEX(IEC!$C$5:$C$21,SMALL(IF(iecstage=0,IF(iecstatus=1,ROW(iecstatus)-ROW(IEC!$E$5)+1)),ROWS(L$6:L10))),"")</f>
        <v/>
      </c>
      <c r="M10" s="237"/>
      <c r="N10" s="235" t="str">
        <f t="array" ref="N10">IF(ROWS(N$6:N10)&lt;=$M$7,INDEX('Prev &amp; Ctrl'!$C$5:$C$29,SMALL(IF(prevstage=0,IF(prevstatus=0,ROW(prevstatus)-ROW('Prev &amp; Ctrl'!$E$5)+1)),ROWS(N$6:N10))),"")</f>
        <v/>
      </c>
      <c r="O10" s="236" t="str">
        <f t="array" ref="O10">IF(ROWS(O$6:O10)&lt;=$M$8,INDEX('Prev &amp; Ctrl'!$C$5:$C$29,SMALL(IF(prevstage=0,IF(prevstatus=1,ROW(prevstatus)-ROW('Prev &amp; Ctrl'!$E$5)+1)),ROWS(O$6:O10))),"")</f>
        <v/>
      </c>
      <c r="P10" s="234"/>
      <c r="Q10" s="231" t="str">
        <f t="array" ref="Q10">IF(ROWS(Q$6:Q10)&lt;=$P$7,INDEX('Dog popn'!$C$5:C13,SMALL(IF(dogstage=0,IF(dogstatus=0,ROW(dogstatus)-ROW('Dog popn'!$E$5)+1)),ROWS(Q$6:Q10))),"")</f>
        <v/>
      </c>
      <c r="R10" s="232" t="str">
        <f t="array" ref="R10">IF(ROWS(R$6:R10)&lt;=$P$8,INDEX('Dog popn'!$C$5:$C$9,SMALL(IF(dogstage=0,IF(dogstatus=1,ROW(dogstatus)-ROW('Dog popn'!$E$5)+1)),ROWS(R$6:R10))),"")</f>
        <v/>
      </c>
      <c r="S10" s="234"/>
      <c r="T10" s="235" t="str">
        <f t="array" ref="T10">IF(ROWS(T$6:T10)&lt;=$S$7,INDEX('Cross-cutting issues'!$C$5:$C$16,SMALL(IF(crossstage=0,IF(crossstatus=0,ROW(crossstatus)-ROW('Cross-cutting issues'!$E$5)+1)),ROWS(T$6:T10))),"")</f>
        <v/>
      </c>
      <c r="U10" s="236" t="str">
        <f t="array" ref="U10">IF(ROWS(U$6:U10)&lt;=$S$8,INDEX('Cross-cutting issues'!$C$5:$C$16,SMALL(IF(crossstage=0,IF(crossstatus=1,ROW(crossstatus)-ROW('Cross-cutting issues'!$E$5)+1)),ROWS(U$6:U10))),"")</f>
        <v/>
      </c>
      <c r="Z10" s="106"/>
    </row>
    <row r="11" spans="1:26" s="17" customFormat="1" ht="51" x14ac:dyDescent="0.25">
      <c r="A11" s="58">
        <v>1</v>
      </c>
      <c r="B11" s="216" t="str">
        <f t="array" ref="B11">IF(ROWS(B$11:B11)&lt;=$A$12,INDEX(Legislation!$C$5:$C$19,SMALL(IF(STAGE=1,IF(STATUS=0,ROW(STATUS)-ROW(Legislation!$E$5)+1)),ROWS(B$11:B11))),"")</f>
        <v>The human rabies case definition has been disseminated to relevant professionals</v>
      </c>
      <c r="C11" s="217" t="str">
        <f t="array" ref="C11">IF(ROWS(C$11:C11)&lt;=$A$13,INDEX(Legislation!$C$5:$C$19,SMALL(IF(STAGE=1,IF(STATUS=1,ROW(STATUS)-ROW(Legislation!$E$5)+1)),ROWS(C$11:C11))),"")</f>
        <v>The animal rabies case definition has been disseminated to relevant professionals</v>
      </c>
      <c r="D11" s="238"/>
      <c r="E11" s="216" t="str">
        <f t="array" ref="E11">IF(ROWS(E$11:E11)&lt;=$D$12,INDEX('Data coll &amp; ax'!$C$5:$C$22,SMALL(IF(datastage=1,IF(datastatus=0,ROW(datastatus)-ROW('Data coll &amp; ax'!$E$5)+1)),ROWS(E$11:E11))),"")</f>
        <v>Dog rabies data analysis capacity at the national level has been established</v>
      </c>
      <c r="F11" s="217" t="str">
        <f t="array" ref="F11">IF(ROWS(F$11:F11)&lt;=$D$13,INDEX('Data coll &amp; ax'!$C$5:$C$22,SMALL(IF(datastage=1,IF(datastatus=1,ROW(datastatus)-ROW('Data coll &amp; ax'!$E$5)+1)),ROWS(F$11:F11))),"")</f>
        <v xml:space="preserve">Reporting of dog rabies from local to national level </v>
      </c>
      <c r="G11" s="219"/>
      <c r="H11" s="220" t="str">
        <f t="array" ref="H11">IF(ROWS(H$11:H11)&lt;=$G$12,INDEX('Lab dx'!$C$5:$C$15,SMALL(IF(labstage=1,IF(labstatus=0,ROW(labstatus)-ROW('Lab dx'!$E$5)+1)),ROWS(H$11:H11))),"")</f>
        <v xml:space="preserve">Rabies diagnostic capacity has been established in at least one national laboratory </v>
      </c>
      <c r="I11" s="221" t="str">
        <f t="array" ref="I11">IF(ROWS(I$11:I11)&lt;=$G$13,INDEX('Lab dx'!$C$5:$C$15,SMALL(IF(labstage=1,IF(labstatus=1,ROW(labstatus)-ROW('Lab dx'!$F$5)+1)),ROWS(I$11:I11))),"")</f>
        <v/>
      </c>
      <c r="J11" s="219"/>
      <c r="K11" s="216" t="str">
        <f t="array" ref="K11">IF(ROWS(K$11:K11)&lt;=$J$12,INDEX(IEC!$C$5:$C$21,SMALL(IF(iecstage=1,IF(iecstatus=0,ROW(iecstatus)-ROW(IEC!$E$5)+1)),ROWS(K$11:K11))),"")</f>
        <v>Communications situation and needs (KAP, training needs, stakeholder analysis) assessed at pilot level</v>
      </c>
      <c r="L11" s="217" t="str">
        <f t="array" ref="L11">IF(ROWS(L$11:L11)&lt;=$J$13,INDEX(IEC!$C$5:$C$21,SMALL(IF(iecstage=1,IF(iecstatus=1,ROW(iecstatus)-ROW(IEC!$E$5)+1)),ROWS(L$11:L11))),"")</f>
        <v/>
      </c>
      <c r="M11" s="222"/>
      <c r="N11" s="220" t="str">
        <f t="array" ref="N11">IF(ROWS(N$11:N11)&lt;=$M$12,INDEX('Prev &amp; Ctrl'!$C$5:$C$29,SMALL(IF(prevstage=1,IF(prevstatus=0,ROW(prevstatus)-ROW('Prev &amp; Ctrl'!$E$5)+1)),ROWS(N$11:N11))),"")</f>
        <v>A first assessment on access to PEP (and PreP) has been carried out</v>
      </c>
      <c r="O11" s="221" t="str">
        <f t="array" ref="O11">IF(ROWS(O$11:O11)&lt;=$M$13,INDEX('Prev &amp; Ctrl'!$C$5:$C$29,SMALL(IF(prevstage=1,IF(prevstatus=1,ROW(prevstatus)-ROW('Prev &amp; Ctrl'!$E$5)+1)),ROWS(O$11:O11))),"")</f>
        <v>Vaccines for human rabies prophylaxis are available in the country</v>
      </c>
      <c r="P11" s="219"/>
      <c r="Q11" s="216" t="str">
        <f t="array" ref="Q11">IF(ROWS(Q$11:Q11)&lt;=$P$12,INDEX('Dog popn'!$C$5:C14,SMALL(IF(dogstage=1,IF(dogstatus=0,ROW(dogstatus)-ROW('Dog popn'!$E$5)+1)),ROWS(Q$11:Q11))),"")</f>
        <v>Dog population studies to determine size, turn-over and accessibility have been conducted in pilot areas</v>
      </c>
      <c r="R11" s="217" t="str">
        <f t="array" ref="R11">IF(ROWS(R$11:R11)&lt;=$P$13,INDEX('Dog popn'!$C$5:$C$9,SMALL(IF(dogstage=1,IF(dogstatus=1,ROW(dogstatus)-ROW('Dog popn'!$E$5)+1)),ROWS(R$11:R11))),"")</f>
        <v/>
      </c>
      <c r="S11" s="219"/>
      <c r="T11" s="220" t="str">
        <f t="array" ref="T11">IF(ROWS(T$11:T11)&lt;=$S$12,INDEX('Cross-cutting issues'!$C$5:$C$16,SMALL(IF(crossstage=1,IF(crossstatus=0,ROW(crossstatus)-ROW('Cross-cutting issues'!$E$5)+1)),ROWS(T$11:T11))),"")</f>
        <v>Stakeholder consultations held within the last 3 years</v>
      </c>
      <c r="U11" s="221" t="str">
        <f t="array" ref="U11">IF(ROWS(U$11:U11)&lt;=$S$13,INDEX('Cross-cutting issues'!$C$5:$C$16,SMALL(IF(crossstage=1,IF(crossstatus=1,ROW(crossstatus)-ROW('Cross-cutting issues'!$E$5)+1)),ROWS(U$11:U11))),"")</f>
        <v>Identification of main national stakeholders in rabies prevention and control has been carried out</v>
      </c>
      <c r="Z11" s="106"/>
    </row>
    <row r="12" spans="1:26" s="17" customFormat="1" ht="76.5" x14ac:dyDescent="0.25">
      <c r="A12" s="51">
        <f>SUMPRODUCT((STAGE=1)*(STATUS=0))</f>
        <v>5</v>
      </c>
      <c r="B12" s="229" t="str">
        <f t="array" ref="B12">IF(ROWS(B$11:B12)&lt;=$A$12,INDEX(Legislation!$C$5:$C$19,SMALL(IF(STAGE=1,IF(STATUS=0,ROW(STATUS)-ROW(Legislation!$E$5)+1)),ROWS(B$11:B12))),"")</f>
        <v>There is a legal framework relevant to rabies prevention and control</v>
      </c>
      <c r="C12" s="224" t="str">
        <f t="array" ref="C12">IF(ROWS(C$11:C12)&lt;=$A$13,INDEX(Legislation!$C$5:$C$19,SMALL(IF(STAGE=1,IF(STATUS=1,ROW(STATUS)-ROW(Legislation!$E$5)+1)),ROWS(C$11:C12))),"")</f>
        <v xml:space="preserve">Rabies is made a notifiable disease in animals </v>
      </c>
      <c r="D12" s="239">
        <f>SUMPRODUCT((datastage=1)*(datastatus=0))</f>
        <v>3</v>
      </c>
      <c r="E12" s="229" t="str">
        <f t="array" ref="E12">IF(ROWS(E$11:E12)&lt;=$D$12,INDEX('Data coll &amp; ax'!$C$5:$C$22,SMALL(IF(datastage=1,IF(datastatus=0,ROW(datastatus)-ROW('Data coll &amp; ax'!$E$5)+1)),ROWS(E$11:E12))),"")</f>
        <v>Dog bite reporting and documentation have been reviewed and data compiled</v>
      </c>
      <c r="F12" s="224" t="str">
        <f t="array" ref="F12">IF(ROWS(F$11:F12)&lt;=$D$13,INDEX('Data coll &amp; ax'!$C$5:$C$22,SMALL(IF(datastage=1,IF(datastatus=1,ROW(datastatus)-ROW('Data coll &amp; ax'!$E$5)+1)),ROWS(F$11:F12))),"")</f>
        <v>Reporting of human rabies from local to national level</v>
      </c>
      <c r="G12" s="226">
        <f>SUMPRODUCT((labstage=1)*(labstatus=0))</f>
        <v>1</v>
      </c>
      <c r="H12" s="227" t="str">
        <f t="array" ref="H12">IF(ROWS(H$11:H12)&lt;=$G$12,INDEX('Lab dx'!$C$5:$C$15,SMALL(IF(labstage=1,IF(labstatus=0,ROW(labstatus)-ROW('Lab dx'!$E$5)+1)),ROWS(H$11:H12))),"")</f>
        <v/>
      </c>
      <c r="I12" s="228" t="str">
        <f t="array" ref="I12">IF(ROWS(I$11:I12)&lt;=$G$13,INDEX('Lab dx'!$C$5:$C$15,SMALL(IF(labstage=1,IF(labstatus=1,ROW(labstatus)-ROW('Lab dx'!$F$5)+1)),ROWS(I$11:I12))),"")</f>
        <v/>
      </c>
      <c r="J12" s="226">
        <f>SUMPRODUCT((iecstage=1)*(iecstatus=0))</f>
        <v>5</v>
      </c>
      <c r="K12" s="229" t="str">
        <f t="array" ref="K12">IF(ROWS(K$11:K12)&lt;=$J$12,INDEX(IEC!$C$5:$C$21,SMALL(IF(iecstage=1,IF(iecstatus=0,ROW(iecstatus)-ROW(IEC!$E$5)+1)),ROWS(K$11:K12))),"")</f>
        <v>Target audiences identified for public, professional and advocacy communications (at-risk communities, dog owners, health professionals, at-risk community leaders/authorities, politicians)</v>
      </c>
      <c r="L12" s="224" t="str">
        <f t="array" ref="L12">IF(ROWS(L$11:L12)&lt;=$J$13,INDEX(IEC!$C$5:$C$21,SMALL(IF(iecstage=1,IF(iecstatus=1,ROW(iecstatus)-ROW(IEC!$E$5)+1)),ROWS(L$11:L12))),"")</f>
        <v/>
      </c>
      <c r="M12" s="230">
        <f>SUMPRODUCT((prevstage=1)*(prevstatus=0))</f>
        <v>3</v>
      </c>
      <c r="N12" s="227" t="str">
        <f t="array" ref="N12">IF(ROWS(N$11:N12)&lt;=$M$12,INDEX('Prev &amp; Ctrl'!$C$5:$C$29,SMALL(IF(prevstage=1,IF(prevstatus=0,ROW(prevstatus)-ROW('Prev &amp; Ctrl'!$E$5)+1)),ROWS(N$11:N12))),"")</f>
        <v xml:space="preserve">Dog vaccination is initiated in some parts or pilot areas of the country </v>
      </c>
      <c r="O12" s="228" t="str">
        <f t="array" ref="O12">IF(ROWS(O$11:O12)&lt;=$M$13,INDEX('Prev &amp; Ctrl'!$C$5:$C$29,SMALL(IF(prevstage=1,IF(prevstatus=1,ROW(prevstatus)-ROW('Prev &amp; Ctrl'!$E$5)+1)),ROWS(O$11:O12))),"")</f>
        <v>Dog rabies vaccines are available in the country</v>
      </c>
      <c r="P12" s="226">
        <f>SUMPRODUCT((dogstage=1)*(dogstatus=0))</f>
        <v>2</v>
      </c>
      <c r="Q12" s="229" t="str">
        <f t="array" ref="Q12">IF(ROWS(Q$11:Q12)&lt;=$P$12,INDEX('Dog popn'!$C$5:C15,SMALL(IF(dogstage=1,IF(dogstatus=0,ROW(dogstatus)-ROW('Dog popn'!$E$5)+1)),ROWS(Q$11:Q12))),"")</f>
        <v xml:space="preserve">Other rabies control activities such as IBCM, dog population management have been implemented (at least in pilot areas) </v>
      </c>
      <c r="R12" s="224" t="str">
        <f t="array" ref="R12">IF(ROWS(R$11:R12)&lt;=$P$13,INDEX('Dog popn'!$C$5:$C$9,SMALL(IF(dogstage=1,IF(dogstatus=1,ROW(dogstatus)-ROW('Dog popn'!$E$5)+1)),ROWS(R$11:R12))),"")</f>
        <v/>
      </c>
      <c r="S12" s="226">
        <f>SUMPRODUCT((crossstage=1)*(crossstatus=0))</f>
        <v>3</v>
      </c>
      <c r="T12" s="227" t="str">
        <f t="array" ref="T12">IF(ROWS(T$11:T12)&lt;=$S$12,INDEX('Cross-cutting issues'!$C$5:$C$16,SMALL(IF(crossstage=1,IF(crossstatus=0,ROW(crossstatus)-ROW('Cross-cutting issues'!$E$5)+1)),ROWS(T$11:T12))),"")</f>
        <v>Intersectoral rabies task force, committee or working group established at local or national level and meeting at least twice a year</v>
      </c>
      <c r="U12" s="228" t="str">
        <f t="array" ref="U12">IF(ROWS(U$11:U12)&lt;=$S$13,INDEX('Cross-cutting issues'!$C$5:$C$16,SMALL(IF(crossstage=1,IF(crossstatus=1,ROW(crossstatus)-ROW('Cross-cutting issues'!$E$5)+1)),ROWS(U$11:U12))),"")</f>
        <v>Mechanisms for mobilizing emergency funds in case of an outbreak have been identified</v>
      </c>
      <c r="Z12" s="106"/>
    </row>
    <row r="13" spans="1:26" s="17" customFormat="1" ht="63.75" x14ac:dyDescent="0.25">
      <c r="A13" s="51">
        <f>SUMPRODUCT((STAGE=1)*(STATUS=1))</f>
        <v>3</v>
      </c>
      <c r="B13" s="229" t="str">
        <f t="array" ref="B13">IF(ROWS(B$11:B13)&lt;=$A$12,INDEX(Legislation!$C$5:$C$19,SMALL(IF(STAGE=1,IF(STATUS=0,ROW(STATUS)-ROW(Legislation!$E$5)+1)),ROWS(B$11:B13))),"")</f>
        <v xml:space="preserve">If there is a legal framework, the framework has been reviewed to determine if it is adequate.  </v>
      </c>
      <c r="C13" s="224" t="str">
        <f t="array" ref="C13">IF(ROWS(C$11:C13)&lt;=$A$13,INDEX(Legislation!$C$5:$C$19,SMALL(IF(STAGE=1,IF(STATUS=1,ROW(STATUS)-ROW(Legislation!$E$5)+1)),ROWS(C$11:C13))),"")</f>
        <v xml:space="preserve">Rabies is made a notifiable disease in humans </v>
      </c>
      <c r="D13" s="239">
        <f>SUMPRODUCT((datastage=1)*(datastatus=1))</f>
        <v>3</v>
      </c>
      <c r="E13" s="229" t="str">
        <f t="array" ref="E13">IF(ROWS(E$11:E13)&lt;=$D$12,INDEX('Data coll &amp; ax'!$C$5:$C$22,SMALL(IF(datastage=1,IF(datastatus=0,ROW(datastatus)-ROW('Data coll &amp; ax'!$E$5)+1)),ROWS(E$11:E13))),"")</f>
        <v>Dog population studies to determine size, turn-over and accessibility have been conducted in pilot areas</v>
      </c>
      <c r="F13" s="224" t="str">
        <f t="array" ref="F13">IF(ROWS(F$11:F13)&lt;=$D$13,INDEX('Data coll &amp; ax'!$C$5:$C$22,SMALL(IF(datastage=1,IF(datastatus=1,ROW(datastatus)-ROW('Data coll &amp; ax'!$E$5)+1)),ROWS(F$11:F13))),"")</f>
        <v>Human rabies data analysis capacity at the national level has been established</v>
      </c>
      <c r="G13" s="226">
        <f>SUMPRODUCT((labstage=1)*(labstatus=1))</f>
        <v>0</v>
      </c>
      <c r="H13" s="227" t="str">
        <f t="array" ref="H13">IF(ROWS(H$11:H13)&lt;=$G$12,INDEX('Lab dx'!$C$5:$C$15,SMALL(IF(labstage=1,IF(labstatus=0,ROW(labstatus)-ROW('Lab dx'!$E$5)+1)),ROWS(H$11:H13))),"")</f>
        <v/>
      </c>
      <c r="I13" s="228" t="str">
        <f t="array" ref="I13">IF(ROWS(I$11:I13)&lt;=$G$13,INDEX('Lab dx'!$C$5:$C$15,SMALL(IF(labstage=1,IF(labstatus=1,ROW(labstatus)-ROW('Lab dx'!$F$5)+1)),ROWS(I$11:I13))),"")</f>
        <v/>
      </c>
      <c r="J13" s="226">
        <f>SUMPRODUCT((iecstage=1)*(iecstatus=1))</f>
        <v>0</v>
      </c>
      <c r="K13" s="229" t="str">
        <f t="array" ref="K13">IF(ROWS(K$11:K13)&lt;=$J$12,INDEX(IEC!$C$5:$C$21,SMALL(IF(iecstage=1,IF(iecstatus=0,ROW(iecstatus)-ROW(IEC!$E$5)+1)),ROWS(K$11:K13))),"")</f>
        <v>A rabies communication plan developed for public, professional and advocacy target audiences</v>
      </c>
      <c r="L13" s="224" t="str">
        <f t="array" ref="L13">IF(ROWS(L$11:L13)&lt;=$J$13,INDEX(IEC!$C$5:$C$21,SMALL(IF(iecstage=1,IF(iecstatus=1,ROW(iecstatus)-ROW(IEC!$E$5)+1)),ROWS(L$11:L13))),"")</f>
        <v/>
      </c>
      <c r="M13" s="230">
        <f>SUMPRODUCT((prevstage=1)*(prevstatus=1))</f>
        <v>2</v>
      </c>
      <c r="N13" s="227" t="str">
        <f t="array" ref="N13">IF(ROWS(N$11:N13)&lt;=$M$12,INDEX('Prev &amp; Ctrl'!$C$5:$C$29,SMALL(IF(prevstage=1,IF(prevstatus=0,ROW(prevstatus)-ROW('Prev &amp; Ctrl'!$E$5)+1)),ROWS(N$11:N13))),"")</f>
        <v xml:space="preserve">Other rabies control activities such as IBCM, dog population management have been implemented (at least in pilot areas) </v>
      </c>
      <c r="O13" s="228" t="str">
        <f t="array" ref="O13">IF(ROWS(O$11:O13)&lt;=$M$13,INDEX('Prev &amp; Ctrl'!$C$5:$C$29,SMALL(IF(prevstage=1,IF(prevstatus=1,ROW(prevstatus)-ROW('Prev &amp; Ctrl'!$E$5)+1)),ROWS(O$11:O13))),"")</f>
        <v/>
      </c>
      <c r="P13" s="226">
        <f>SUMPRODUCT((dogstage=1)*(dogstatus=1))</f>
        <v>0</v>
      </c>
      <c r="Q13" s="229" t="str">
        <f t="array" ref="Q13">IF(ROWS(Q$11:Q13)&lt;=$P$12,INDEX('Dog popn'!$C$5:C16,SMALL(IF(dogstage=1,IF(dogstatus=0,ROW(dogstatus)-ROW('Dog popn'!$E$5)+1)),ROWS(Q$11:Q13))),"")</f>
        <v/>
      </c>
      <c r="R13" s="224" t="str">
        <f t="array" ref="R13">IF(ROWS(R$11:R13)&lt;=$P$13,INDEX('Dog popn'!$C$5:$C$9,SMALL(IF(dogstage=1,IF(dogstatus=1,ROW(dogstatus)-ROW('Dog popn'!$E$5)+1)),ROWS(R$11:R13))),"")</f>
        <v/>
      </c>
      <c r="S13" s="226">
        <f>SUMPRODUCT((crossstage=1)*(crossstatus=1))</f>
        <v>2</v>
      </c>
      <c r="T13" s="227" t="str">
        <f t="array" ref="T13">IF(ROWS(T$11:T13)&lt;=$S$12,INDEX('Cross-cutting issues'!$C$5:$C$16,SMALL(IF(crossstage=1,IF(crossstatus=0,ROW(crossstatus)-ROW('Cross-cutting issues'!$E$5)+1)),ROWS(T$11:T13))),"")</f>
        <v>Based on pilot area experience, a short term rabies action plan has been developed and endorsed by relevant stakeholders at local / national level</v>
      </c>
      <c r="U13" s="228" t="str">
        <f t="array" ref="U13">IF(ROWS(U$11:U13)&lt;=$S$13,INDEX('Cross-cutting issues'!$C$5:$C$16,SMALL(IF(crossstage=1,IF(crossstatus=1,ROW(crossstatus)-ROW('Cross-cutting issues'!$E$5)+1)),ROWS(U$11:U13))),"")</f>
        <v/>
      </c>
      <c r="Z13" s="106"/>
    </row>
    <row r="14" spans="1:26" s="17" customFormat="1" ht="63.75" x14ac:dyDescent="0.25">
      <c r="A14" s="52"/>
      <c r="B14" s="229" t="str">
        <f t="array" ref="B14">IF(ROWS(B$11:B14)&lt;=$A$12,INDEX(Legislation!$C$5:$C$19,SMALL(IF(STAGE=1,IF(STATUS=0,ROW(STATUS)-ROW(Legislation!$E$5)+1)),ROWS(B$11:B14))),"")</f>
        <v>Legislation includes compulsory rabies vaccination of dogs or proposed if not in place</v>
      </c>
      <c r="C14" s="224" t="str">
        <f t="array" ref="C14">IF(ROWS(C$11:C14)&lt;=$A$13,INDEX(Legislation!$C$5:$C$19,SMALL(IF(STAGE=1,IF(STATUS=1,ROW(STATUS)-ROW(Legislation!$E$5)+1)),ROWS(C$11:C14))),"")</f>
        <v/>
      </c>
      <c r="D14" s="239"/>
      <c r="E14" s="229" t="str">
        <f t="array" ref="E14">IF(ROWS(E$11:E14)&lt;=$D$12,INDEX('Data coll &amp; ax'!$C$5:$C$22,SMALL(IF(datastage=1,IF(datastatus=0,ROW(datastatus)-ROW('Data coll &amp; ax'!$E$5)+1)),ROWS(E$11:E14))),"")</f>
        <v/>
      </c>
      <c r="F14" s="224" t="str">
        <f t="array" ref="F14">IF(ROWS(F$11:F14)&lt;=$D$13,INDEX('Data coll &amp; ax'!$C$5:$C$22,SMALL(IF(datastage=1,IF(datastatus=1,ROW(datastatus)-ROW('Data coll &amp; ax'!$E$5)+1)),ROWS(F$11:F14))),"")</f>
        <v/>
      </c>
      <c r="G14" s="226"/>
      <c r="H14" s="227" t="str">
        <f t="array" ref="H14">IF(ROWS(H$11:H14)&lt;=$G$12,INDEX('Lab dx'!$C$5:$C$15,SMALL(IF(labstage=1,IF(labstatus=0,ROW(labstatus)-ROW('Lab dx'!$E$5)+1)),ROWS(H$11:H14))),"")</f>
        <v/>
      </c>
      <c r="I14" s="228" t="str">
        <f t="array" ref="I14">IF(ROWS(I$11:I14)&lt;=$G$13,INDEX('Lab dx'!$C$5:$C$15,SMALL(IF(labstage=1,IF(labstatus=1,ROW(labstatus)-ROW('Lab dx'!$F$5)+1)),ROWS(I$11:I14))),"")</f>
        <v/>
      </c>
      <c r="J14" s="226"/>
      <c r="K14" s="229" t="str">
        <f t="array" ref="K14">IF(ROWS(K$11:K14)&lt;=$J$12,INDEX(IEC!$C$5:$C$21,SMALL(IF(iecstage=1,IF(iecstatus=0,ROW(iecstatus)-ROW(IEC!$E$5)+1)),ROWS(K$11:K14))),"")</f>
        <v xml:space="preserve">Public awareness activities on rabies prevention, dog bite management and dog vaccination initiated (e.g. WRD)  </v>
      </c>
      <c r="L14" s="224" t="str">
        <f t="array" ref="L14">IF(ROWS(L$11:L14)&lt;=$J$13,INDEX(IEC!$C$5:$C$21,SMALL(IF(iecstage=1,IF(iecstatus=1,ROW(iecstatus)-ROW(IEC!$E$5)+1)),ROWS(L$11:L14))),"")</f>
        <v/>
      </c>
      <c r="M14" s="230"/>
      <c r="N14" s="227" t="str">
        <f t="array" ref="N14">IF(ROWS(N$11:N14)&lt;=$M$12,INDEX('Prev &amp; Ctrl'!$C$5:$C$29,SMALL(IF(prevstage=1,IF(prevstatus=0,ROW(prevstatus)-ROW('Prev &amp; Ctrl'!$E$5)+1)),ROWS(N$11:N14))),"")</f>
        <v/>
      </c>
      <c r="O14" s="228" t="str">
        <f t="array" ref="O14">IF(ROWS(O$11:O14)&lt;=$M$13,INDEX('Prev &amp; Ctrl'!$C$5:$C$29,SMALL(IF(prevstage=1,IF(prevstatus=1,ROW(prevstatus)-ROW('Prev &amp; Ctrl'!$E$5)+1)),ROWS(O$11:O14))),"")</f>
        <v/>
      </c>
      <c r="P14" s="226"/>
      <c r="Q14" s="229" t="str">
        <f t="array" ref="Q14">IF(ROWS(Q$11:Q14)&lt;=$P$12,INDEX('Dog popn'!$C$5:C17,SMALL(IF(dogstage=1,IF(dogstatus=0,ROW(dogstatus)-ROW('Dog popn'!$E$5)+1)),ROWS(Q$11:Q14))),"")</f>
        <v/>
      </c>
      <c r="R14" s="224" t="str">
        <f t="array" ref="R14">IF(ROWS(R$11:R14)&lt;=$P$13,INDEX('Dog popn'!$C$5:$C$9,SMALL(IF(dogstage=1,IF(dogstatus=1,ROW(dogstatus)-ROW('Dog popn'!$E$5)+1)),ROWS(R$11:R14))),"")</f>
        <v/>
      </c>
      <c r="S14" s="226"/>
      <c r="T14" s="227" t="str">
        <f t="array" ref="T14">IF(ROWS(T$11:T14)&lt;=$S$12,INDEX('Cross-cutting issues'!$C$5:$C$16,SMALL(IF(crossstage=1,IF(crossstatus=0,ROW(crossstatus)-ROW('Cross-cutting issues'!$E$5)+1)),ROWS(T$11:T14))),"")</f>
        <v/>
      </c>
      <c r="U14" s="228" t="str">
        <f t="array" ref="U14">IF(ROWS(U$11:U14)&lt;=$S$13,INDEX('Cross-cutting issues'!$C$5:$C$16,SMALL(IF(crossstage=1,IF(crossstatus=1,ROW(crossstatus)-ROW('Cross-cutting issues'!$E$5)+1)),ROWS(U$11:U14))),"")</f>
        <v/>
      </c>
      <c r="Z14" s="106"/>
    </row>
    <row r="15" spans="1:26" s="17" customFormat="1" ht="51" x14ac:dyDescent="0.25">
      <c r="A15" s="52"/>
      <c r="B15" s="229" t="str">
        <f t="array" ref="B15">IF(ROWS(B$11:B15)&lt;=$A$12,INDEX(Legislation!$C$5:$C$19,SMALL(IF(STAGE=1,IF(STATUS=0,ROW(STATUS)-ROW(Legislation!$E$5)+1)),ROWS(B$11:B15))),"")</f>
        <v>Legislation includes measures for outbreak response</v>
      </c>
      <c r="C15" s="224" t="str">
        <f t="array" ref="C15">IF(ROWS(C$11:C15)&lt;=$A$13,INDEX(Legislation!$C$5:$C$19,SMALL(IF(STAGE=1,IF(STATUS=1,ROW(STATUS)-ROW(Legislation!$E$5)+1)),ROWS(C$11:C15))),"")</f>
        <v/>
      </c>
      <c r="D15" s="239"/>
      <c r="E15" s="229" t="str">
        <f t="array" ref="E15">IF(ROWS(E$11:E15)&lt;=$D$12,INDEX('Data coll &amp; ax'!$C$5:$C$22,SMALL(IF(datastage=1,IF(datastatus=0,ROW(datastatus)-ROW('Data coll &amp; ax'!$E$5)+1)),ROWS(E$11:E15))),"")</f>
        <v/>
      </c>
      <c r="F15" s="224" t="str">
        <f t="array" ref="F15">IF(ROWS(F$11:F15)&lt;=$D$13,INDEX('Data coll &amp; ax'!$C$5:$C$22,SMALL(IF(datastage=1,IF(datastatus=1,ROW(datastatus)-ROW('Data coll &amp; ax'!$E$5)+1)),ROWS(F$11:F15))),"")</f>
        <v/>
      </c>
      <c r="G15" s="226"/>
      <c r="H15" s="227" t="str">
        <f t="array" ref="H15">IF(ROWS(H$11:H15)&lt;=$G$12,INDEX('Lab dx'!$C$5:$C$15,SMALL(IF(labstage=1,IF(labstatus=0,ROW(labstatus)-ROW('Lab dx'!$E$5)+1)),ROWS(H$11:H15))),"")</f>
        <v/>
      </c>
      <c r="I15" s="228" t="str">
        <f t="array" ref="I15">IF(ROWS(I$11:I15)&lt;=$G$13,INDEX('Lab dx'!$C$5:$C$15,SMALL(IF(labstage=1,IF(labstatus=1,ROW(labstatus)-ROW('Lab dx'!$F$5)+1)),ROWS(I$11:I15))),"")</f>
        <v/>
      </c>
      <c r="J15" s="226"/>
      <c r="K15" s="229" t="str">
        <f t="array" ref="K15">IF(ROWS(K$11:K15)&lt;=$J$12,INDEX(IEC!$C$5:$C$21,SMALL(IF(iecstage=1,IF(iecstatus=0,ROW(iecstatus)-ROW(IEC!$E$5)+1)),ROWS(K$11:K15))),"")</f>
        <v xml:space="preserve">Training or refresher courses on rabies initiated for professionals in human and animal health </v>
      </c>
      <c r="L15" s="224" t="str">
        <f t="array" ref="L15">IF(ROWS(L$11:L15)&lt;=$J$13,INDEX(IEC!$C$5:$C$21,SMALL(IF(iecstage=1,IF(iecstatus=1,ROW(iecstatus)-ROW(IEC!$E$5)+1)),ROWS(L$11:L15))),"")</f>
        <v/>
      </c>
      <c r="M15" s="230"/>
      <c r="N15" s="227" t="str">
        <f t="array" ref="N15">IF(ROWS(N$11:N15)&lt;=$M$12,INDEX('Prev &amp; Ctrl'!$C$5:$C$29,SMALL(IF(prevstage=1,IF(prevstatus=0,ROW(prevstatus)-ROW('Prev &amp; Ctrl'!$E$5)+1)),ROWS(N$11:N15))),"")</f>
        <v/>
      </c>
      <c r="O15" s="228" t="str">
        <f t="array" ref="O15">IF(ROWS(O$11:O15)&lt;=$M$13,INDEX('Prev &amp; Ctrl'!$C$5:$C$29,SMALL(IF(prevstage=1,IF(prevstatus=1,ROW(prevstatus)-ROW('Prev &amp; Ctrl'!$E$5)+1)),ROWS(O$11:O15))),"")</f>
        <v/>
      </c>
      <c r="P15" s="226"/>
      <c r="Q15" s="229" t="str">
        <f t="array" ref="Q15">IF(ROWS(Q$11:Q15)&lt;=$P$12,INDEX('Dog popn'!$C$5:C18,SMALL(IF(dogstage=1,IF(dogstatus=0,ROW(dogstatus)-ROW('Dog popn'!$E$5)+1)),ROWS(Q$11:Q15))),"")</f>
        <v/>
      </c>
      <c r="R15" s="224" t="str">
        <f t="array" ref="R15">IF(ROWS(R$11:R15)&lt;=$P$13,INDEX('Dog popn'!$C$5:$C$9,SMALL(IF(dogstage=1,IF(dogstatus=1,ROW(dogstatus)-ROW('Dog popn'!$E$5)+1)),ROWS(R$11:R15))),"")</f>
        <v/>
      </c>
      <c r="S15" s="226"/>
      <c r="T15" s="227" t="str">
        <f t="array" ref="T15">IF(ROWS(T$11:T15)&lt;=$S$12,INDEX('Cross-cutting issues'!$C$5:$C$16,SMALL(IF(crossstage=1,IF(crossstatus=0,ROW(crossstatus)-ROW('Cross-cutting issues'!$E$5)+1)),ROWS(T$11:T15))),"")</f>
        <v/>
      </c>
      <c r="U15" s="228" t="str">
        <f t="array" ref="U15">IF(ROWS(U$11:U15)&lt;=$S$13,INDEX('Cross-cutting issues'!$C$5:$C$16,SMALL(IF(crossstage=1,IF(crossstatus=1,ROW(crossstatus)-ROW('Cross-cutting issues'!$E$5)+1)),ROWS(U$11:U15))),"")</f>
        <v/>
      </c>
      <c r="Z15" s="106"/>
    </row>
    <row r="16" spans="1:26" s="17" customFormat="1" x14ac:dyDescent="0.25">
      <c r="A16" s="52"/>
      <c r="B16" s="229" t="str">
        <f t="array" ref="B16">IF(ROWS(B$11:B16)&lt;=$A$12,INDEX(Legislation!$C$5:$C$19,SMALL(IF(STAGE=1,IF(STATUS=0,ROW(STATUS)-ROW(Legislation!$E$5)+1)),ROWS(B$11:B16))),"")</f>
        <v/>
      </c>
      <c r="C16" s="224" t="str">
        <f t="array" ref="C16">IF(ROWS(C$11:C16)&lt;=$A$13,INDEX(Legislation!$C$5:$C$19,SMALL(IF(STAGE=1,IF(STATUS=1,ROW(STATUS)-ROW(Legislation!$E$5)+1)),ROWS(C$11:C16))),"")</f>
        <v/>
      </c>
      <c r="D16" s="239"/>
      <c r="E16" s="229" t="str">
        <f t="array" ref="E16">IF(ROWS(E$11:E16)&lt;=$D$12,INDEX('Data coll &amp; ax'!$C$5:$C$22,SMALL(IF(datastage=1,IF(datastatus=0,ROW(datastatus)-ROW('Data coll &amp; ax'!$E$5)+1)),ROWS(E$11:E16))),"")</f>
        <v/>
      </c>
      <c r="F16" s="224" t="str">
        <f t="array" ref="F16">IF(ROWS(F$11:F16)&lt;=$D$13,INDEX('Data coll &amp; ax'!$C$5:$C$22,SMALL(IF(datastage=1,IF(datastatus=1,ROW(datastatus)-ROW('Data coll &amp; ax'!$E$5)+1)),ROWS(F$11:F16))),"")</f>
        <v/>
      </c>
      <c r="G16" s="226"/>
      <c r="H16" s="227" t="str">
        <f t="array" ref="H16">IF(ROWS(H$11:H16)&lt;=$G$12,INDEX('Lab dx'!$C$5:$C$15,SMALL(IF(labstage=1,IF(labstatus=0,ROW(labstatus)-ROW('Lab dx'!$E$5)+1)),ROWS(H$11:H16))),"")</f>
        <v/>
      </c>
      <c r="I16" s="228" t="str">
        <f t="array" ref="I16">IF(ROWS(I$11:I16)&lt;=$G$13,INDEX('Lab dx'!$C$5:$C$15,SMALL(IF(labstage=1,IF(labstatus=1,ROW(labstatus)-ROW('Lab dx'!$F$5)+1)),ROWS(I$11:I16))),"")</f>
        <v/>
      </c>
      <c r="J16" s="226"/>
      <c r="K16" s="229" t="str">
        <f t="array" ref="K16">IF(ROWS(K$11:K16)&lt;=$J$12,INDEX(IEC!$C$5:$C$21,SMALL(IF(iecstage=1,IF(iecstatus=0,ROW(iecstatus)-ROW(IEC!$E$5)+1)),ROWS(K$11:K16))),"")</f>
        <v/>
      </c>
      <c r="L16" s="224" t="str">
        <f t="array" ref="L16">IF(ROWS(L$11:L16)&lt;=$J$13,INDEX(IEC!$C$5:$C$21,SMALL(IF(iecstage=1,IF(iecstatus=1,ROW(iecstatus)-ROW(IEC!$E$5)+1)),ROWS(L$11:L16))),"")</f>
        <v/>
      </c>
      <c r="M16" s="230"/>
      <c r="N16" s="227" t="str">
        <f t="array" ref="N16">IF(ROWS(N$11:N16)&lt;=$M$12,INDEX('Prev &amp; Ctrl'!$C$5:$C$29,SMALL(IF(prevstage=1,IF(prevstatus=0,ROW(prevstatus)-ROW('Prev &amp; Ctrl'!$E$5)+1)),ROWS(N$11:N16))),"")</f>
        <v/>
      </c>
      <c r="O16" s="228" t="str">
        <f t="array" ref="O16">IF(ROWS(O$11:O16)&lt;=$M$13,INDEX('Prev &amp; Ctrl'!$C$5:$C$29,SMALL(IF(prevstage=1,IF(prevstatus=1,ROW(prevstatus)-ROW('Prev &amp; Ctrl'!$E$5)+1)),ROWS(O$11:O16))),"")</f>
        <v/>
      </c>
      <c r="P16" s="226"/>
      <c r="Q16" s="229" t="str">
        <f t="array" ref="Q16">IF(ROWS(Q$11:Q16)&lt;=$P$12,INDEX('Dog popn'!$C$5:C19,SMALL(IF(dogstage=1,IF(dogstatus=0,ROW(dogstatus)-ROW('Dog popn'!$E$5)+1)),ROWS(Q$11:Q16))),"")</f>
        <v/>
      </c>
      <c r="R16" s="224" t="str">
        <f t="array" ref="R16">IF(ROWS(R$11:R16)&lt;=$P$13,INDEX('Dog popn'!$C$5:$C$9,SMALL(IF(dogstage=1,IF(dogstatus=1,ROW(dogstatus)-ROW('Dog popn'!$E$5)+1)),ROWS(R$11:R16))),"")</f>
        <v/>
      </c>
      <c r="S16" s="226"/>
      <c r="T16" s="227" t="str">
        <f t="array" ref="T16">IF(ROWS(T$11:T16)&lt;=$S$12,INDEX('Cross-cutting issues'!$C$5:$C$16,SMALL(IF(crossstage=1,IF(crossstatus=0,ROW(crossstatus)-ROW('Cross-cutting issues'!$E$5)+1)),ROWS(T$11:T16))),"")</f>
        <v/>
      </c>
      <c r="U16" s="228" t="str">
        <f t="array" ref="U16">IF(ROWS(U$11:U16)&lt;=$S$13,INDEX('Cross-cutting issues'!$C$5:$C$16,SMALL(IF(crossstage=1,IF(crossstatus=1,ROW(crossstatus)-ROW('Cross-cutting issues'!$E$5)+1)),ROWS(U$11:U16))),"")</f>
        <v/>
      </c>
      <c r="Z16" s="106"/>
    </row>
    <row r="17" spans="1:26" s="17" customFormat="1" x14ac:dyDescent="0.25">
      <c r="A17" s="52"/>
      <c r="B17" s="229" t="str">
        <f t="array" ref="B17">IF(ROWS(B$11:B17)&lt;=$A$12,INDEX(Legislation!$C$5:$C$19,SMALL(IF(STAGE=1,IF(STATUS=0,ROW(STATUS)-ROW(Legislation!$E$5)+1)),ROWS(B$11:B17))),"")</f>
        <v/>
      </c>
      <c r="C17" s="224" t="str">
        <f t="array" ref="C17">IF(ROWS(C$11:C17)&lt;=$A$13,INDEX(Legislation!$C$5:$C$19,SMALL(IF(STAGE=1,IF(STATUS=1,ROW(STATUS)-ROW(Legislation!$E$5)+1)),ROWS(C$11:C17))),"")</f>
        <v/>
      </c>
      <c r="D17" s="239"/>
      <c r="E17" s="229" t="str">
        <f t="array" ref="E17">IF(ROWS(E$11:E17)&lt;=$D$12,INDEX('Data coll &amp; ax'!$C$5:$C$22,SMALL(IF(datastage=1,IF(datastatus=0,ROW(datastatus)-ROW('Data coll &amp; ax'!$E$5)+1)),ROWS(E$11:E17))),"")</f>
        <v/>
      </c>
      <c r="F17" s="224" t="str">
        <f t="array" ref="F17">IF(ROWS(F$11:F17)&lt;=$D$13,INDEX('Data coll &amp; ax'!$C$5:$C$22,SMALL(IF(datastage=1,IF(datastatus=1,ROW(datastatus)-ROW('Data coll &amp; ax'!$E$5)+1)),ROWS(F$11:F17))),"")</f>
        <v/>
      </c>
      <c r="G17" s="226"/>
      <c r="H17" s="227" t="str">
        <f t="array" ref="H17">IF(ROWS(H$11:H17)&lt;=$G$12,INDEX('Lab dx'!$C$5:$C$15,SMALL(IF(labstage=1,IF(labstatus=0,ROW(labstatus)-ROW('Lab dx'!$E$5)+1)),ROWS(H$11:H17))),"")</f>
        <v/>
      </c>
      <c r="I17" s="228" t="str">
        <f t="array" ref="I17">IF(ROWS(I$11:I17)&lt;=$G$13,INDEX('Lab dx'!$C$5:$C$15,SMALL(IF(labstage=1,IF(labstatus=1,ROW(labstatus)-ROW('Lab dx'!$F$5)+1)),ROWS(I$11:I17))),"")</f>
        <v/>
      </c>
      <c r="J17" s="226"/>
      <c r="K17" s="229" t="str">
        <f t="array" ref="K17">IF(ROWS(K$11:K17)&lt;=$J$12,INDEX(IEC!$C$5:$C$21,SMALL(IF(iecstage=1,IF(iecstatus=0,ROW(iecstatus)-ROW(IEC!$E$5)+1)),ROWS(K$11:K17))),"")</f>
        <v/>
      </c>
      <c r="L17" s="224" t="str">
        <f t="array" ref="L17">IF(ROWS(L$11:L17)&lt;=$J$13,INDEX(IEC!$C$5:$C$21,SMALL(IF(iecstage=1,IF(iecstatus=1,ROW(iecstatus)-ROW(IEC!$E$5)+1)),ROWS(L$11:L17))),"")</f>
        <v/>
      </c>
      <c r="M17" s="230"/>
      <c r="N17" s="227" t="str">
        <f t="array" ref="N17">IF(ROWS(N$11:N17)&lt;=$M$12,INDEX('Prev &amp; Ctrl'!$C$5:$C$29,SMALL(IF(prevstage=1,IF(prevstatus=0,ROW(prevstatus)-ROW('Prev &amp; Ctrl'!$E$5)+1)),ROWS(N$11:N17))),"")</f>
        <v/>
      </c>
      <c r="O17" s="228" t="str">
        <f t="array" ref="O17">IF(ROWS(O$11:O17)&lt;=$M$13,INDEX('Prev &amp; Ctrl'!$C$5:$C$29,SMALL(IF(prevstage=1,IF(prevstatus=1,ROW(prevstatus)-ROW('Prev &amp; Ctrl'!$E$5)+1)),ROWS(O$11:O17))),"")</f>
        <v/>
      </c>
      <c r="P17" s="226"/>
      <c r="Q17" s="229" t="str">
        <f t="array" ref="Q17">IF(ROWS(Q$11:Q17)&lt;=$P$12,INDEX('Dog popn'!$C$5:C20,SMALL(IF(dogstage=1,IF(dogstatus=0,ROW(dogstatus)-ROW('Dog popn'!$E$5)+1)),ROWS(Q$11:Q17))),"")</f>
        <v/>
      </c>
      <c r="R17" s="224" t="str">
        <f t="array" ref="R17">IF(ROWS(R$11:R17)&lt;=$P$13,INDEX('Dog popn'!$C$5:$C$9,SMALL(IF(dogstage=1,IF(dogstatus=1,ROW(dogstatus)-ROW('Dog popn'!$E$5)+1)),ROWS(R$11:R17))),"")</f>
        <v/>
      </c>
      <c r="S17" s="226"/>
      <c r="T17" s="227" t="str">
        <f t="array" ref="T17">IF(ROWS(T$11:T17)&lt;=$S$12,INDEX('Cross-cutting issues'!$C$5:$C$16,SMALL(IF(crossstage=1,IF(crossstatus=0,ROW(crossstatus)-ROW('Cross-cutting issues'!$E$5)+1)),ROWS(T$11:T17))),"")</f>
        <v/>
      </c>
      <c r="U17" s="228" t="str">
        <f t="array" ref="U17">IF(ROWS(U$11:U17)&lt;=$S$13,INDEX('Cross-cutting issues'!$C$5:$C$16,SMALL(IF(crossstage=1,IF(crossstatus=1,ROW(crossstatus)-ROW('Cross-cutting issues'!$E$5)+1)),ROWS(U$11:U17))),"")</f>
        <v/>
      </c>
      <c r="Z17" s="106"/>
    </row>
    <row r="18" spans="1:26" s="17" customFormat="1" x14ac:dyDescent="0.25">
      <c r="A18" s="52"/>
      <c r="B18" s="229" t="str">
        <f t="array" ref="B18">IF(ROWS(B$11:B18)&lt;=$A$12,INDEX(Legislation!$C$5:$C$19,SMALL(IF(STAGE=1,IF(STATUS=0,ROW(STATUS)-ROW(Legislation!$E$5)+1)),ROWS(B$11:B18))),"")</f>
        <v/>
      </c>
      <c r="C18" s="224" t="str">
        <f t="array" ref="C18">IF(ROWS(C$11:C18)&lt;=$A$13,INDEX(Legislation!$C$5:$C$19,SMALL(IF(STAGE=1,IF(STATUS=1,ROW(STATUS)-ROW(Legislation!$E$5)+1)),ROWS(C$11:C18))),"")</f>
        <v/>
      </c>
      <c r="D18" s="239"/>
      <c r="E18" s="229" t="str">
        <f t="array" ref="E18">IF(ROWS(E$11:E18)&lt;=$D$12,INDEX('Data coll &amp; ax'!$C$5:$C$22,SMALL(IF(datastage=1,IF(datastatus=0,ROW(datastatus)-ROW('Data coll &amp; ax'!$E$5)+1)),ROWS(E$11:E18))),"")</f>
        <v/>
      </c>
      <c r="F18" s="224" t="str">
        <f t="array" ref="F18">IF(ROWS(F$11:F18)&lt;=$D$13,INDEX('Data coll &amp; ax'!$C$5:$C$22,SMALL(IF(datastage=1,IF(datastatus=1,ROW(datastatus)-ROW('Data coll &amp; ax'!$E$5)+1)),ROWS(F$11:F18))),"")</f>
        <v/>
      </c>
      <c r="G18" s="226"/>
      <c r="H18" s="227" t="str">
        <f t="array" ref="H18">IF(ROWS(H$11:H18)&lt;=$G$12,INDEX('Lab dx'!$C$5:$C$15,SMALL(IF(labstage=1,IF(labstatus=0,ROW(labstatus)-ROW('Lab dx'!$E$5)+1)),ROWS(H$11:H18))),"")</f>
        <v/>
      </c>
      <c r="I18" s="228" t="str">
        <f t="array" ref="I18">IF(ROWS(I$11:I18)&lt;=$G$13,INDEX('Lab dx'!$C$5:$C$15,SMALL(IF(labstage=1,IF(labstatus=1,ROW(labstatus)-ROW('Lab dx'!$F$5)+1)),ROWS(I$11:I18))),"")</f>
        <v/>
      </c>
      <c r="J18" s="226"/>
      <c r="K18" s="229" t="str">
        <f t="array" ref="K18">IF(ROWS(K$11:K18)&lt;=$J$12,INDEX(IEC!$C$5:$C$21,SMALL(IF(iecstage=1,IF(iecstatus=0,ROW(iecstatus)-ROW(IEC!$E$5)+1)),ROWS(K$11:K18))),"")</f>
        <v/>
      </c>
      <c r="L18" s="224" t="str">
        <f t="array" ref="L18">IF(ROWS(L$11:L18)&lt;=$J$13,INDEX(IEC!$C$5:$C$21,SMALL(IF(iecstage=1,IF(iecstatus=1,ROW(iecstatus)-ROW(IEC!$E$5)+1)),ROWS(L$11:L18))),"")</f>
        <v/>
      </c>
      <c r="M18" s="230"/>
      <c r="N18" s="227" t="str">
        <f t="array" ref="N18">IF(ROWS(N$11:N18)&lt;=$M$12,INDEX('Prev &amp; Ctrl'!$C$5:$C$29,SMALL(IF(prevstage=1,IF(prevstatus=0,ROW(prevstatus)-ROW('Prev &amp; Ctrl'!$E$5)+1)),ROWS(N$11:N18))),"")</f>
        <v/>
      </c>
      <c r="O18" s="228" t="str">
        <f t="array" ref="O18">IF(ROWS(O$11:O18)&lt;=$M$13,INDEX('Prev &amp; Ctrl'!$C$5:$C$29,SMALL(IF(prevstage=1,IF(prevstatus=1,ROW(prevstatus)-ROW('Prev &amp; Ctrl'!$E$5)+1)),ROWS(O$11:O18))),"")</f>
        <v/>
      </c>
      <c r="P18" s="226"/>
      <c r="Q18" s="229" t="str">
        <f t="array" ref="Q18">IF(ROWS(Q$11:Q18)&lt;=$P$12,INDEX('Dog popn'!$C$5:C21,SMALL(IF(dogstage=1,IF(dogstatus=0,ROW(dogstatus)-ROW('Dog popn'!$E$5)+1)),ROWS(Q$11:Q18))),"")</f>
        <v/>
      </c>
      <c r="R18" s="224" t="str">
        <f t="array" ref="R18">IF(ROWS(R$11:R18)&lt;=$P$13,INDEX('Dog popn'!$C$5:$C$9,SMALL(IF(dogstage=1,IF(dogstatus=1,ROW(dogstatus)-ROW('Dog popn'!$E$5)+1)),ROWS(R$11:R18))),"")</f>
        <v/>
      </c>
      <c r="S18" s="226"/>
      <c r="T18" s="227" t="str">
        <f t="array" ref="T18">IF(ROWS(T$11:T18)&lt;=$S$12,INDEX('Cross-cutting issues'!$C$5:$C$16,SMALL(IF(crossstage=1,IF(crossstatus=0,ROW(crossstatus)-ROW('Cross-cutting issues'!$E$5)+1)),ROWS(T$11:T18))),"")</f>
        <v/>
      </c>
      <c r="U18" s="228" t="str">
        <f t="array" ref="U18">IF(ROWS(U$11:U18)&lt;=$S$13,INDEX('Cross-cutting issues'!$C$5:$C$16,SMALL(IF(crossstage=1,IF(crossstatus=1,ROW(crossstatus)-ROW('Cross-cutting issues'!$E$5)+1)),ROWS(U$11:U18))),"")</f>
        <v/>
      </c>
      <c r="Z18" s="109"/>
    </row>
    <row r="19" spans="1:26" s="17" customFormat="1" x14ac:dyDescent="0.25">
      <c r="A19" s="53"/>
      <c r="B19" s="231" t="str">
        <f t="array" ref="B19">IF(ROWS(B$11:B19)&lt;=$A$12,INDEX(Legislation!$C$5:$C$19,SMALL(IF(STAGE=1,IF(STATUS=0,ROW(STATUS)-ROW(Legislation!$E$5)+1)),ROWS(B$11:B19))),"")</f>
        <v/>
      </c>
      <c r="C19" s="232" t="str">
        <f t="array" ref="C19">IF(ROWS(C$11:C19)&lt;=$A$13,INDEX(Legislation!$C$5:$C$19,SMALL(IF(STAGE=1,IF(STATUS=1,ROW(STATUS)-ROW(Legislation!$E$5)+1)),ROWS(C$11:C19))),"")</f>
        <v/>
      </c>
      <c r="D19" s="240"/>
      <c r="E19" s="231" t="str">
        <f t="array" ref="E19">IF(ROWS(E$11:E19)&lt;=$D$12,INDEX('Data coll &amp; ax'!$C$5:$C$22,SMALL(IF(datastage=1,IF(datastatus=0,ROW(datastatus)-ROW('Data coll &amp; ax'!$E$5)+1)),ROWS(E$11:E19))),"")</f>
        <v/>
      </c>
      <c r="F19" s="232" t="str">
        <f t="array" ref="F19">IF(ROWS(F$11:F19)&lt;=$D$13,INDEX('Data coll &amp; ax'!$C$5:$C$22,SMALL(IF(datastage=1,IF(datastatus=1,ROW(datastatus)-ROW('Data coll &amp; ax'!$E$5)+1)),ROWS(F$11:F19))),"")</f>
        <v/>
      </c>
      <c r="G19" s="234"/>
      <c r="H19" s="235" t="str">
        <f t="array" ref="H19">IF(ROWS(H$11:H19)&lt;=$G$12,INDEX('Lab dx'!$C$5:$C$15,SMALL(IF(labstage=1,IF(labstatus=0,ROW(labstatus)-ROW('Lab dx'!$E$5)+1)),ROWS(H$11:H19))),"")</f>
        <v/>
      </c>
      <c r="I19" s="236" t="str">
        <f t="array" ref="I19">IF(ROWS(I$11:I19)&lt;=$G$13,INDEX('Lab dx'!$C$5:$C$15,SMALL(IF(labstage=1,IF(labstatus=1,ROW(labstatus)-ROW('Lab dx'!$F$5)+1)),ROWS(I$11:I19))),"")</f>
        <v/>
      </c>
      <c r="J19" s="234"/>
      <c r="K19" s="231" t="str">
        <f t="array" ref="K19">IF(ROWS(K$11:K19)&lt;=$J$12,INDEX(IEC!$C$5:$C$21,SMALL(IF(iecstage=1,IF(iecstatus=0,ROW(iecstatus)-ROW(IEC!$E$5)+1)),ROWS(K$11:K19))),"")</f>
        <v/>
      </c>
      <c r="L19" s="232" t="str">
        <f t="array" ref="L19">IF(ROWS(L$11:L19)&lt;=$J$13,INDEX(IEC!$C$5:$C$21,SMALL(IF(iecstage=1,IF(iecstatus=1,ROW(iecstatus)-ROW(IEC!$E$5)+1)),ROWS(L$11:L19))),"")</f>
        <v/>
      </c>
      <c r="M19" s="237"/>
      <c r="N19" s="235" t="str">
        <f t="array" ref="N19">IF(ROWS(N$11:N19)&lt;=$M$12,INDEX('Prev &amp; Ctrl'!$C$5:$C$29,SMALL(IF(prevstage=1,IF(prevstatus=0,ROW(prevstatus)-ROW('Prev &amp; Ctrl'!$E$5)+1)),ROWS(N$11:N19))),"")</f>
        <v/>
      </c>
      <c r="O19" s="236" t="str">
        <f t="array" ref="O19">IF(ROWS(O$11:O19)&lt;=$M$13,INDEX('Prev &amp; Ctrl'!$C$5:$C$29,SMALL(IF(prevstage=1,IF(prevstatus=1,ROW(prevstatus)-ROW('Prev &amp; Ctrl'!$E$5)+1)),ROWS(O$11:O19))),"")</f>
        <v/>
      </c>
      <c r="P19" s="234"/>
      <c r="Q19" s="231" t="str">
        <f t="array" ref="Q19">IF(ROWS(Q$11:Q19)&lt;=$P$12,INDEX('Dog popn'!$C$5:C22,SMALL(IF(dogstage=1,IF(dogstatus=0,ROW(dogstatus)-ROW('Dog popn'!$E$5)+1)),ROWS(Q$11:Q19))),"")</f>
        <v/>
      </c>
      <c r="R19" s="232" t="str">
        <f t="array" ref="R19">IF(ROWS(R$11:R19)&lt;=$P$13,INDEX('Dog popn'!$C$5:$C$9,SMALL(IF(dogstage=1,IF(dogstatus=1,ROW(dogstatus)-ROW('Dog popn'!$E$5)+1)),ROWS(R$11:R19))),"")</f>
        <v/>
      </c>
      <c r="S19" s="234"/>
      <c r="T19" s="235" t="str">
        <f t="array" ref="T19">IF(ROWS(T$11:T19)&lt;=$S$12,INDEX('Cross-cutting issues'!$C$5:$C$16,SMALL(IF(crossstage=1,IF(crossstatus=0,ROW(crossstatus)-ROW('Cross-cutting issues'!$E$5)+1)),ROWS(T$11:T19))),"")</f>
        <v/>
      </c>
      <c r="U19" s="236" t="str">
        <f t="array" ref="U19">IF(ROWS(U$11:U19)&lt;=$S$13,INDEX('Cross-cutting issues'!$C$5:$C$16,SMALL(IF(crossstage=1,IF(crossstatus=1,ROW(crossstatus)-ROW('Cross-cutting issues'!$E$5)+1)),ROWS(U$11:U19))),"")</f>
        <v/>
      </c>
      <c r="Z19" s="107"/>
    </row>
    <row r="20" spans="1:26" s="17" customFormat="1" ht="63.75" x14ac:dyDescent="0.25">
      <c r="A20" s="58">
        <v>2</v>
      </c>
      <c r="B20" s="216" t="str">
        <f t="array" ref="B20">IF(ROWS(B$20:B20)&lt;=$A$21,INDEX(Legislation!$C$5:$C$19,SMALL(IF(STAGE=2,IF(STATUS=0,ROW(STATUS)-ROW(Legislation!$E$5)+1)),ROWS(B$20:B20))),"")</f>
        <v>The animal rabies case definition has been reviewed and endorsed (intersectoral approach)</v>
      </c>
      <c r="C20" s="217" t="str">
        <f t="array" ref="C20">IF(ROWS(C$20:C20)&lt;=$A$22,INDEX(Legislation!$C$5:$C$19,SMALL(IF(STAGE=2,IF(STATUS=1,ROW(STATUS)-ROW(Legislation!$E$5)+1)),ROWS(C$20:C20))),"")</f>
        <v/>
      </c>
      <c r="D20" s="218"/>
      <c r="E20" s="216" t="str">
        <f t="array" ref="E20">IF(ROWS(E$20:E20)&lt;=$D$21,INDEX('Data coll &amp; ax'!$C$5:$C$22,SMALL(IF(datastage=2,IF(datastatus=0,ROW(datastatus)-ROW('Data coll &amp; ax'!$E$5)+1)),ROWS(E$20:E20))),"")</f>
        <v>Establishment of linked human and animal rabies surveillance systems, including agreed SOPs</v>
      </c>
      <c r="F20" s="217" t="str">
        <f t="array" ref="F20">IF(ROWS(F$20:F20)&lt;=$D$22,INDEX('Data coll &amp; ax'!$C$5:$C$22,SMALL(IF(datastage=2,IF(datastatus=1,ROW(datastatus)-ROW('Data coll &amp; ax'!$E$5)+1)),ROWS(F$20:F20))),"")</f>
        <v xml:space="preserve">Human rabies surveillance systems, including feedback mechanism, coordinated between administrative levels (national, province, district, municipal, etc.) </v>
      </c>
      <c r="G20" s="219"/>
      <c r="H20" s="220" t="str">
        <f t="array" ref="H20">IF(ROWS(H$20:H20)&lt;=$G$21,INDEX('Lab dx'!$C$5:$C$15,SMALL(IF(labstage=2,IF(labstatus=0,ROW(labstatus)-ROW('Lab dx'!$E$5)+1)),ROWS(H$20:H20))),"")</f>
        <v/>
      </c>
      <c r="I20" s="221" t="str">
        <f t="array" ref="I20">IF(ROWS(I$20:I20)&lt;=$G$22,INDEX('Lab dx'!$C$5:$C$15,SMALL(IF(labstage=2,IF(labstatus=1,ROW(labstatus)-ROW('Lab dx'!$F$5)+1)),ROWS(I$20:I20))),"")</f>
        <v>Routine laboratory diagnosis of animal rabies cases in country</v>
      </c>
      <c r="J20" s="219"/>
      <c r="K20" s="216" t="str">
        <f t="array" ref="K20">IF(ROWS(K$20:K20)&lt;=$J$21,INDEX(IEC!$C$5:$C$21,SMALL(IF(iecstage=2,IF(iecstatus=0,ROW(iecstatus)-ROW(IEC!$E$5)+1)),ROWS(K$20:K20))),"")</f>
        <v xml:space="preserve">Rabies communication plan reviewed and updated </v>
      </c>
      <c r="L20" s="217" t="str">
        <f t="array" ref="L20">IF(ROWS(L$20:L20)&lt;=$J$22,INDEX(IEC!$C$5:$C$21,SMALL(IF(iecstage=2,IF(iecstatus=1,ROW(iecstatus)-ROW(IEC!$E$5)+1)),ROWS(L$20:L20))),"")</f>
        <v>Information on the epidemiology of rabies is regularly shared with all stakeholders</v>
      </c>
      <c r="M20" s="222"/>
      <c r="N20" s="220" t="str">
        <f t="array" ref="N20">IF(ROWS(N$20:N20)&lt;=$M$21,INDEX('Prev &amp; Ctrl'!$C$5:$C$29,SMALL(IF(prevstage=2,IF(prevstatus=0,ROW(prevstatus)-ROW('Prev &amp; Ctrl'!$E$5)+1)),ROWS(N$20:N20))),"")</f>
        <v>WHO pre-qualified human rabies vaccines available and accessible in most parts of the country</v>
      </c>
      <c r="O20" s="221" t="str">
        <f t="array" ref="O20">IF(ROWS(O$20:O20)&lt;=$M$22,INDEX('Prev &amp; Ctrl'!$C$5:$C$29,SMALL(IF(prevstage=2,IF(prevstatus=1,ROW(prevstatus)-ROW('Prev &amp; Ctrl'!$E$5)+1)),ROWS(O$20:O20))),"")</f>
        <v/>
      </c>
      <c r="P20" s="219"/>
      <c r="Q20" s="216" t="str">
        <f t="array" ref="Q20">IF(ROWS(Q$20:Q20)&lt;=$P$21,INDEX('Dog popn'!$C$5:$C$9,SMALL(IF(dogstage=2,IF(dogstatus=0,ROW(dogstatus)-ROW('Dog popn'!$E$5)+1)),ROWS(Q$20:Q20))),"")</f>
        <v>Rabies awareness campaigns including responsible dog ownership have been expanded to more areas</v>
      </c>
      <c r="R20" s="241" t="str">
        <f t="array" ref="R20">IF(ROWS(R$20:R20)&lt;=$P$22,INDEX('Dog popn'!$C$5:$C$9,SMALL(IF(dogstage=2,IF(dogstatus=1,ROW(dogstatus)-ROW('Dog popn'!$E$5)+1)),ROWS(R$20:R20))),"")</f>
        <v/>
      </c>
      <c r="S20" s="219"/>
      <c r="T20" s="220" t="str">
        <f t="array" ref="T20">IF(ROWS(T$20:T20)&lt;=$S$21,INDEX('Cross-cutting issues'!$C$5:$C$16,SMALL(IF(crossstage=2,IF(crossstatus=0,ROW(crossstatus)-ROW('Cross-cutting issues'!$E$5)+1)),ROWS(T$20:T20))),"")</f>
        <v>Mechanisms for regular intersectoral collaboration are in place and implemented</v>
      </c>
      <c r="U20" s="221" t="str">
        <f t="array" ref="U20">IF(ROWS(U$20:U20)&lt;=$S$22,INDEX('Cross-cutting issues'!$C$5:$C$16,SMALL(IF(crossstage=2,IF(crossstatus=1,ROW(crossstatus)-ROW('Cross-cutting issues'!$E$5)+1)),ROWS(U$20:U20))),"")</f>
        <v/>
      </c>
      <c r="Z20" s="106"/>
    </row>
    <row r="21" spans="1:26" s="17" customFormat="1" ht="63.75" x14ac:dyDescent="0.25">
      <c r="A21" s="51">
        <f>SUMPRODUCT((STAGE=2)*(STATUS=0))</f>
        <v>3</v>
      </c>
      <c r="B21" s="229" t="str">
        <f t="array" ref="B21">IF(ROWS(B$20:B21)&lt;=$A$21,INDEX(Legislation!$C$5:$C$19,SMALL(IF(STAGE=2,IF(STATUS=0,ROW(STATUS)-ROW(Legislation!$E$5)+1)),ROWS(B$20:B21))),"")</f>
        <v>The human rabies case definition has been reviewed and endorsed (intersectoral approach)</v>
      </c>
      <c r="C21" s="224" t="str">
        <f t="array" ref="C21">IF(ROWS(C$20:C21)&lt;=$A$22,INDEX(Legislation!$C$5:$C$19,SMALL(IF(STAGE=2,IF(STATUS=1,ROW(STATUS)-ROW(Legislation!$E$5)+1)),ROWS(C$20:C21))),"")</f>
        <v/>
      </c>
      <c r="D21" s="225">
        <f>SUMPRODUCT((datastage=2)*(datastatus=0))</f>
        <v>2</v>
      </c>
      <c r="E21" s="229" t="str">
        <f t="array" ref="E21">IF(ROWS(E$20:E21)&lt;=$D$21,INDEX('Data coll &amp; ax'!$C$5:$C$22,SMALL(IF(datastage=2,IF(datastatus=0,ROW(datastatus)-ROW('Data coll &amp; ax'!$E$5)+1)),ROWS(E$20:E21))),"")</f>
        <v>Information on the epidemiology of rabies is regularly shared with all stakeholders</v>
      </c>
      <c r="F21" s="224" t="str">
        <f t="array" ref="F21">IF(ROWS(F$20:F21)&lt;=$D$22,INDEX('Data coll &amp; ax'!$C$5:$C$22,SMALL(IF(datastage=2,IF(datastatus=1,ROW(datastatus)-ROW('Data coll &amp; ax'!$E$5)+1)),ROWS(F$20:F21))),"")</f>
        <v>Animal rabies surveillance systems, including feedback mechanism, coordinated between administrative levels (national, province, district, municipal, etc.)</v>
      </c>
      <c r="G21" s="226">
        <f>SUMPRODUCT((labstage=2)*(labstatus=0))</f>
        <v>0</v>
      </c>
      <c r="H21" s="227" t="str">
        <f t="array" ref="H21">IF(ROWS(H$20:H21)&lt;=$G$21,INDEX('Lab dx'!$C$5:$C$15,SMALL(IF(labstage=2,IF(labstatus=0,ROW(labstatus)-ROW('Lab dx'!$E$5)+1)),ROWS(H$20:H21))),"")</f>
        <v/>
      </c>
      <c r="I21" s="228" t="str">
        <f t="array" ref="I21">IF(ROWS(I$20:I21)&lt;=$G$22,INDEX('Lab dx'!$C$5:$C$15,SMALL(IF(labstage=2,IF(labstatus=1,ROW(labstatus)-ROW('Lab dx'!$F$5)+1)),ROWS(I$20:I21))),"")</f>
        <v xml:space="preserve">Capacity for sample collection and transportation has been established </v>
      </c>
      <c r="J21" s="226">
        <f>SUMPRODUCT((iecstage=2)*(iecstatus=0))</f>
        <v>3</v>
      </c>
      <c r="K21" s="229" t="str">
        <f t="array" ref="K21">IF(ROWS(K$20:K21)&lt;=$J$21,INDEX(IEC!$C$5:$C$21,SMALL(IF(iecstage=2,IF(iecstatus=0,ROW(iecstatus)-ROW(IEC!$E$5)+1)),ROWS(K$20:K21))),"")</f>
        <v>Rabies awareness campaigns including responsible dog ownership have been expanded to more areas</v>
      </c>
      <c r="L21" s="224" t="str">
        <f t="array" ref="L21">IF(ROWS(L$20:L21)&lt;=$J$22,INDEX(IEC!$C$5:$C$21,SMALL(IF(iecstage=2,IF(iecstatus=1,ROW(iecstatus)-ROW(IEC!$E$5)+1)),ROWS(L$20:L21))),"")</f>
        <v>Public awareness and sensitization campaigns are tailored to specific target groups (e.g. community leaders, authorities and health professionals, World Rabies Day Activities).</v>
      </c>
      <c r="M21" s="230">
        <f>SUMPRODUCT((prevstage=2)*(prevstatus=0))</f>
        <v>7</v>
      </c>
      <c r="N21" s="227" t="str">
        <f t="array" ref="N21">IF(ROWS(N$20:N21)&lt;=$M$21,INDEX('Prev &amp; Ctrl'!$C$5:$C$29,SMALL(IF(prevstage=2,IF(prevstatus=0,ROW(prevstatus)-ROW('Prev &amp; Ctrl'!$E$5)+1)),ROWS(N$20:N21))),"")</f>
        <v>Any use of human biologics not WHO-pre-qualified is being phased out (e.g. nerve tissue vaccines, low quality vaccines)</v>
      </c>
      <c r="O21" s="228" t="str">
        <f t="array" ref="O21">IF(ROWS(O$20:O21)&lt;=$M$22,INDEX('Prev &amp; Ctrl'!$C$5:$C$29,SMALL(IF(prevstage=2,IF(prevstatus=1,ROW(prevstatus)-ROW('Prev &amp; Ctrl'!$E$5)+1)),ROWS(O$20:O21))),"")</f>
        <v/>
      </c>
      <c r="P21" s="226">
        <f>SUMPRODUCT((dogstage=2)*(dogstatus=0))</f>
        <v>2</v>
      </c>
      <c r="Q21" s="229" t="str">
        <f t="array" ref="Q21">IF(ROWS(Q$20:Q21)&lt;=$P$21,INDEX('Dog popn'!$C$5:$C$9,SMALL(IF(dogstage=2,IF(dogstatus=0,ROW(dogstatus)-ROW('Dog popn'!$E$5)+1)),ROWS(Q$20:Q21))),"")</f>
        <v>Refinement of strategy based on current dog ecology and KAP surveys</v>
      </c>
      <c r="R21" s="242" t="str">
        <f t="array" ref="R21">IF(ROWS(R$20:R21)&lt;=$P$22,INDEX('Dog popn'!$C$5:$C$9,SMALL(IF(dogstage=2,IF(dogstatus=1,ROW(dogstatus)-ROW('Dog popn'!$E$5)+1)),ROWS(R$20:R21))),"")</f>
        <v/>
      </c>
      <c r="S21" s="226">
        <f>SUMPRODUCT((crossstage=2)*(crossstatus=0))</f>
        <v>4</v>
      </c>
      <c r="T21" s="227" t="str">
        <f t="array" ref="T21">IF(ROWS(T$20:T21)&lt;=$S$21,INDEX('Cross-cutting issues'!$C$5:$C$16,SMALL(IF(crossstage=2,IF(crossstatus=0,ROW(crossstatus)-ROW('Cross-cutting issues'!$E$5)+1)),ROWS(T$20:T21))),"")</f>
        <v>Contribution and role of  private sector clarified and shared with other stakeholders</v>
      </c>
      <c r="U21" s="228" t="str">
        <f t="array" ref="U21">IF(ROWS(U$20:U21)&lt;=$S$22,INDEX('Cross-cutting issues'!$C$5:$C$16,SMALL(IF(crossstage=2,IF(crossstatus=1,ROW(crossstatus)-ROW('Cross-cutting issues'!$E$5)+1)),ROWS(U$20:U21))),"")</f>
        <v/>
      </c>
      <c r="Z21" s="106"/>
    </row>
    <row r="22" spans="1:26" s="17" customFormat="1" ht="63.75" x14ac:dyDescent="0.25">
      <c r="A22" s="51">
        <f>SUMPRODUCT((STAGE=2)*(STATUS=1))</f>
        <v>0</v>
      </c>
      <c r="B22" s="229" t="str">
        <f t="array" ref="B22">IF(ROWS(B$20:B22)&lt;=$A$21,INDEX(Legislation!$C$5:$C$19,SMALL(IF(STAGE=2,IF(STATUS=0,ROW(STATUS)-ROW(Legislation!$E$5)+1)),ROWS(B$20:B22))),"")</f>
        <v xml:space="preserve">Legal frameworks updated to include specifications on compulsory vaccination of dogs and international movement of animals. </v>
      </c>
      <c r="C22" s="224" t="str">
        <f t="array" ref="C22">IF(ROWS(C$20:C22)&lt;=$A$22,INDEX(Legislation!$C$5:$C$19,SMALL(IF(STAGE=2,IF(STATUS=1,ROW(STATUS)-ROW(Legislation!$E$5)+1)),ROWS(C$20:C22))),"")</f>
        <v/>
      </c>
      <c r="D22" s="225">
        <f>SUMPRODUCT((datastage=2)*(datastatus=1))</f>
        <v>2</v>
      </c>
      <c r="E22" s="229" t="str">
        <f t="array" ref="E22">IF(ROWS(E$20:E22)&lt;=$D$21,INDEX('Data coll &amp; ax'!$C$5:$C$22,SMALL(IF(datastage=2,IF(datastatus=0,ROW(datastatus)-ROW('Data coll &amp; ax'!$E$5)+1)),ROWS(E$20:E22))),"")</f>
        <v/>
      </c>
      <c r="F22" s="224" t="str">
        <f t="array" ref="F22">IF(ROWS(F$20:F22)&lt;=$D$22,INDEX('Data coll &amp; ax'!$C$5:$C$22,SMALL(IF(datastage=2,IF(datastatus=1,ROW(datastatus)-ROW('Data coll &amp; ax'!$E$5)+1)),ROWS(F$20:F22))),"")</f>
        <v/>
      </c>
      <c r="G22" s="226">
        <f>SUMPRODUCT((labstage=2)*(labstatus=1))</f>
        <v>2</v>
      </c>
      <c r="H22" s="227" t="str">
        <f t="array" ref="H22">IF(ROWS(H$20:H22)&lt;=$G$21,INDEX('Lab dx'!$C$5:$C$15,SMALL(IF(labstage=2,IF(labstatus=0,ROW(labstatus)-ROW('Lab dx'!$E$5)+1)),ROWS(H$20:H22))),"")</f>
        <v/>
      </c>
      <c r="I22" s="228" t="str">
        <f t="array" ref="I22">IF(ROWS(I$20:I22)&lt;=$G$22,INDEX('Lab dx'!$C$5:$C$15,SMALL(IF(labstage=2,IF(labstatus=1,ROW(labstatus)-ROW('Lab dx'!$F$5)+1)),ROWS(I$20:I22))),"")</f>
        <v/>
      </c>
      <c r="J22" s="226">
        <f>SUMPRODUCT((iecstage=2)*(iecstatus=1))</f>
        <v>2</v>
      </c>
      <c r="K22" s="229" t="str">
        <f t="array" ref="K22">IF(ROWS(K$20:K22)&lt;=$J$21,INDEX(IEC!$C$5:$C$21,SMALL(IF(iecstage=2,IF(iecstatus=0,ROW(iecstatus)-ROW(IEC!$E$5)+1)),ROWS(K$20:K22))),"")</f>
        <v>Training of human and animal health personnel has been conducted in most parts of the country</v>
      </c>
      <c r="L22" s="224" t="str">
        <f t="array" ref="L22">IF(ROWS(L$20:L22)&lt;=$J$22,INDEX(IEC!$C$5:$C$21,SMALL(IF(iecstage=2,IF(iecstatus=1,ROW(iecstatus)-ROW(IEC!$E$5)+1)),ROWS(L$20:L22))),"")</f>
        <v/>
      </c>
      <c r="M22" s="230">
        <f>SUMPRODUCT((prevstage=2)*(prevstatus=1))</f>
        <v>0</v>
      </c>
      <c r="N22" s="227" t="str">
        <f t="array" ref="N22">IF(ROWS(N$20:N22)&lt;=$M$21,INDEX('Prev &amp; Ctrl'!$C$5:$C$29,SMALL(IF(prevstage=2,IF(prevstatus=0,ROW(prevstatus)-ROW('Prev &amp; Ctrl'!$E$5)+1)),ROWS(N$20:N22))),"")</f>
        <v>Supply and access to WHO pre-qualified human rabies vaccines for PrEP for professionals at risk ensured throughout the pilot areas</v>
      </c>
      <c r="O22" s="228" t="str">
        <f t="array" ref="O22">IF(ROWS(O$20:O22)&lt;=$M$22,INDEX('Prev &amp; Ctrl'!$C$5:$C$29,SMALL(IF(prevstage=2,IF(prevstatus=1,ROW(prevstatus)-ROW('Prev &amp; Ctrl'!$E$5)+1)),ROWS(O$20:O22))),"")</f>
        <v/>
      </c>
      <c r="P22" s="226">
        <f>SUMPRODUCT((dogstage=2)*(dogstatus=1))</f>
        <v>0</v>
      </c>
      <c r="Q22" s="229" t="str">
        <f t="array" ref="Q22">IF(ROWS(Q$20:Q22)&lt;=$P$21,INDEX('Dog popn'!$C$5:$C$9,SMALL(IF(dogstage=2,IF(dogstatus=0,ROW(dogstatus)-ROW('Dog popn'!$E$5)+1)),ROWS(Q$20:Q22))),"")</f>
        <v/>
      </c>
      <c r="R22" s="242" t="str">
        <f t="array" ref="R22">IF(ROWS(R$20:R22)&lt;=$P$22,INDEX('Dog popn'!$C$5:$C$9,SMALL(IF(dogstage=2,IF(dogstatus=1,ROW(dogstatus)-ROW('Dog popn'!$E$5)+1)),ROWS(R$20:R22))),"")</f>
        <v/>
      </c>
      <c r="S22" s="226">
        <f>SUMPRODUCT((crossstage=2)*(crossstatus=1))</f>
        <v>0</v>
      </c>
      <c r="T22" s="227" t="str">
        <f t="array" ref="T22">IF(ROWS(T$20:T22)&lt;=$S$21,INDEX('Cross-cutting issues'!$C$5:$C$16,SMALL(IF(crossstage=2,IF(crossstatus=0,ROW(crossstatus)-ROW('Cross-cutting issues'!$E$5)+1)),ROWS(T$20:T22))),"")</f>
        <v>A national strategy and programme for rabies prevention, control and eventual elimination has been  drafted and shared with all relevant stakeholders</v>
      </c>
      <c r="U22" s="228" t="str">
        <f t="array" ref="U22">IF(ROWS(U$20:U22)&lt;=$S$22,INDEX('Cross-cutting issues'!$C$5:$C$16,SMALL(IF(crossstage=2,IF(crossstatus=1,ROW(crossstatus)-ROW('Cross-cutting issues'!$E$5)+1)),ROWS(U$20:U22))),"")</f>
        <v/>
      </c>
      <c r="Z22" s="106"/>
    </row>
    <row r="23" spans="1:26" s="17" customFormat="1" ht="76.5" x14ac:dyDescent="0.25">
      <c r="A23" s="52"/>
      <c r="B23" s="229" t="str">
        <f t="array" ref="B23">IF(ROWS(B$20:B23)&lt;=$A$21,INDEX(Legislation!$C$5:$C$19,SMALL(IF(STAGE=2,IF(STATUS=0,ROW(STATUS)-ROW(Legislation!$E$5)+1)),ROWS(B$20:B23))),"")</f>
        <v/>
      </c>
      <c r="C23" s="224" t="str">
        <f t="array" ref="C23">IF(ROWS(C$20:C23)&lt;=$A$22,INDEX(Legislation!$C$5:$C$19,SMALL(IF(STAGE=2,IF(STATUS=1,ROW(STATUS)-ROW(Legislation!$E$5)+1)),ROWS(C$20:C23))),"")</f>
        <v/>
      </c>
      <c r="D23" s="225"/>
      <c r="E23" s="229" t="str">
        <f t="array" ref="E23">IF(ROWS(E$20:E23)&lt;=$D$21,INDEX('Data coll &amp; ax'!$C$5:$C$22,SMALL(IF(datastage=2,IF(datastatus=0,ROW(datastatus)-ROW('Data coll &amp; ax'!$E$5)+1)),ROWS(E$20:E23))),"")</f>
        <v/>
      </c>
      <c r="F23" s="224" t="str">
        <f t="array" ref="F23">IF(ROWS(F$20:F23)&lt;=$D$22,INDEX('Data coll &amp; ax'!$C$5:$C$22,SMALL(IF(datastage=2,IF(datastatus=1,ROW(datastatus)-ROW('Data coll &amp; ax'!$E$5)+1)),ROWS(F$20:F23))),"")</f>
        <v/>
      </c>
      <c r="G23" s="226"/>
      <c r="H23" s="227" t="str">
        <f t="array" ref="H23">IF(ROWS(H$20:H23)&lt;=$G$21,INDEX('Lab dx'!$C$5:$C$15,SMALL(IF(labstage=2,IF(labstatus=0,ROW(labstatus)-ROW('Lab dx'!$E$5)+1)),ROWS(H$20:H23))),"")</f>
        <v/>
      </c>
      <c r="I23" s="228" t="str">
        <f t="array" ref="I23">IF(ROWS(I$20:I23)&lt;=$G$22,INDEX('Lab dx'!$C$5:$C$15,SMALL(IF(labstage=2,IF(labstatus=1,ROW(labstatus)-ROW('Lab dx'!$F$5)+1)),ROWS(I$20:I23))),"")</f>
        <v/>
      </c>
      <c r="J23" s="226"/>
      <c r="K23" s="229" t="str">
        <f t="array" ref="K23">IF(ROWS(K$20:K23)&lt;=$J$21,INDEX(IEC!$C$5:$C$21,SMALL(IF(iecstage=2,IF(iecstatus=0,ROW(iecstatus)-ROW(IEC!$E$5)+1)),ROWS(K$20:K23))),"")</f>
        <v/>
      </c>
      <c r="L23" s="224" t="str">
        <f t="array" ref="L23">IF(ROWS(L$20:L23)&lt;=$J$22,INDEX(IEC!$C$5:$C$21,SMALL(IF(iecstage=2,IF(iecstatus=1,ROW(iecstatus)-ROW(IEC!$E$5)+1)),ROWS(L$20:L23))),"")</f>
        <v/>
      </c>
      <c r="M23" s="230"/>
      <c r="N23" s="227" t="str">
        <f t="array" ref="N23">IF(ROWS(N$20:N23)&lt;=$M$21,INDEX('Prev &amp; Ctrl'!$C$5:$C$29,SMALL(IF(prevstage=2,IF(prevstatus=0,ROW(prevstatus)-ROW('Prev &amp; Ctrl'!$E$5)+1)),ROWS(N$20:N23))),"")</f>
        <v>Only quality dog vaccines in accordance with OIE standards are being used</v>
      </c>
      <c r="O23" s="228" t="str">
        <f t="array" ref="O23">IF(ROWS(O$20:O23)&lt;=$M$22,INDEX('Prev &amp; Ctrl'!$C$5:$C$29,SMALL(IF(prevstage=2,IF(prevstatus=1,ROW(prevstatus)-ROW('Prev &amp; Ctrl'!$E$5)+1)),ROWS(O$20:O23))),"")</f>
        <v/>
      </c>
      <c r="P23" s="226"/>
      <c r="Q23" s="229" t="str">
        <f t="array" ref="Q23">IF(ROWS(Q$20:Q23)&lt;=$P$21,INDEX('Dog popn'!$C$5:$C$9,SMALL(IF(dogstage=2,IF(dogstatus=0,ROW(dogstatus)-ROW('Dog popn'!$E$5)+1)),ROWS(Q$20:Q23))),"")</f>
        <v/>
      </c>
      <c r="R23" s="242" t="str">
        <f t="array" ref="R23">IF(ROWS(R$20:R23)&lt;=$P$22,INDEX('Dog popn'!$C$5:$C$9,SMALL(IF(dogstage=2,IF(dogstatus=1,ROW(dogstatus)-ROW('Dog popn'!$E$5)+1)),ROWS(R$20:R23))),"")</f>
        <v/>
      </c>
      <c r="S23" s="226"/>
      <c r="T23" s="227" t="str">
        <f t="array" ref="T23">IF(ROWS(T$20:T23)&lt;=$S$21,INDEX('Cross-cutting issues'!$C$5:$C$16,SMALL(IF(crossstage=2,IF(crossstatus=0,ROW(crossstatus)-ROW('Cross-cutting issues'!$E$5)+1)),ROWS(T$20:T23))),"")</f>
        <v xml:space="preserve">Government resources identified and allocated in support of the national rabies control strategy and programme  </v>
      </c>
      <c r="U23" s="228" t="str">
        <f t="array" ref="U23">IF(ROWS(U$20:U23)&lt;=$S$22,INDEX('Cross-cutting issues'!$C$5:$C$16,SMALL(IF(crossstage=2,IF(crossstatus=1,ROW(crossstatus)-ROW('Cross-cutting issues'!$E$5)+1)),ROWS(U$20:U23))),"")</f>
        <v/>
      </c>
      <c r="Z23" s="109"/>
    </row>
    <row r="24" spans="1:26" s="17" customFormat="1" ht="51" x14ac:dyDescent="0.25">
      <c r="A24" s="52"/>
      <c r="B24" s="229" t="str">
        <f t="array" ref="B24">IF(ROWS(B$20:B24)&lt;=$A$21,INDEX(Legislation!$C$5:$C$19,SMALL(IF(STAGE=2,IF(STATUS=0,ROW(STATUS)-ROW(Legislation!$E$5)+1)),ROWS(B$20:B24))),"")</f>
        <v/>
      </c>
      <c r="C24" s="224" t="str">
        <f t="array" ref="C24">IF(ROWS(C$20:C24)&lt;=$A$22,INDEX(Legislation!$C$5:$C$19,SMALL(IF(STAGE=2,IF(STATUS=1,ROW(STATUS)-ROW(Legislation!$E$5)+1)),ROWS(C$20:C24))),"")</f>
        <v/>
      </c>
      <c r="D24" s="225"/>
      <c r="E24" s="229" t="str">
        <f t="array" ref="E24">IF(ROWS(E$20:E24)&lt;=$D$21,INDEX('Data coll &amp; ax'!$C$5:$C$22,SMALL(IF(datastage=2,IF(datastatus=0,ROW(datastatus)-ROW('Data coll &amp; ax'!$E$5)+1)),ROWS(E$20:E24))),"")</f>
        <v/>
      </c>
      <c r="F24" s="224" t="str">
        <f t="array" ref="F24">IF(ROWS(F$20:F24)&lt;=$D$22,INDEX('Data coll &amp; ax'!$C$5:$C$22,SMALL(IF(datastage=2,IF(datastatus=1,ROW(datastatus)-ROW('Data coll &amp; ax'!$E$5)+1)),ROWS(F$20:F24))),"")</f>
        <v/>
      </c>
      <c r="G24" s="226"/>
      <c r="H24" s="227" t="str">
        <f t="array" ref="H24">IF(ROWS(H$20:H24)&lt;=$G$21,INDEX('Lab dx'!$C$5:$C$15,SMALL(IF(labstage=2,IF(labstatus=0,ROW(labstatus)-ROW('Lab dx'!$E$5)+1)),ROWS(H$20:H24))),"")</f>
        <v/>
      </c>
      <c r="I24" s="228" t="str">
        <f t="array" ref="I24">IF(ROWS(I$20:I24)&lt;=$G$22,INDEX('Lab dx'!$C$5:$C$15,SMALL(IF(labstage=2,IF(labstatus=1,ROW(labstatus)-ROW('Lab dx'!$F$5)+1)),ROWS(I$20:I24))),"")</f>
        <v/>
      </c>
      <c r="J24" s="226"/>
      <c r="K24" s="229" t="str">
        <f t="array" ref="K24">IF(ROWS(K$20:K24)&lt;=$J$21,INDEX(IEC!$C$5:$C$21,SMALL(IF(iecstage=2,IF(iecstatus=0,ROW(iecstatus)-ROW(IEC!$E$5)+1)),ROWS(K$20:K24))),"")</f>
        <v/>
      </c>
      <c r="L24" s="224" t="str">
        <f t="array" ref="L24">IF(ROWS(L$20:L24)&lt;=$J$22,INDEX(IEC!$C$5:$C$21,SMALL(IF(iecstage=2,IF(iecstatus=1,ROW(iecstatus)-ROW(IEC!$E$5)+1)),ROWS(L$20:L24))),"")</f>
        <v/>
      </c>
      <c r="M24" s="230"/>
      <c r="N24" s="227" t="str">
        <f t="array" ref="N24">IF(ROWS(N$20:N24)&lt;=$M$21,INDEX('Prev &amp; Ctrl'!$C$5:$C$29,SMALL(IF(prevstage=2,IF(prevstatus=0,ROW(prevstatus)-ROW('Prev &amp; Ctrl'!$E$5)+1)),ROWS(N$20:N24))),"")</f>
        <v>Dog vaccination campaigns are regularly implemented in response to human cases and animal outbreaks</v>
      </c>
      <c r="O24" s="228" t="str">
        <f t="array" ref="O24">IF(ROWS(O$20:O24)&lt;=$M$22,INDEX('Prev &amp; Ctrl'!$C$5:$C$29,SMALL(IF(prevstage=2,IF(prevstatus=1,ROW(prevstatus)-ROW('Prev &amp; Ctrl'!$E$5)+1)),ROWS(O$20:O24))),"")</f>
        <v/>
      </c>
      <c r="P24" s="226"/>
      <c r="Q24" s="229" t="str">
        <f t="array" ref="Q24">IF(ROWS(Q$20:Q24)&lt;=$P$21,INDEX('Dog popn'!$C$5:$C$9,SMALL(IF(dogstage=2,IF(dogstatus=0,ROW(dogstatus)-ROW('Dog popn'!$E$5)+1)),ROWS(Q$20:Q24))),"")</f>
        <v/>
      </c>
      <c r="R24" s="242" t="str">
        <f t="array" ref="R24">IF(ROWS(R$20:R24)&lt;=$P$22,INDEX('Dog popn'!$C$5:$C$9,SMALL(IF(dogstage=2,IF(dogstatus=1,ROW(dogstatus)-ROW('Dog popn'!$E$5)+1)),ROWS(R$20:R24))),"")</f>
        <v/>
      </c>
      <c r="S24" s="226"/>
      <c r="T24" s="227" t="str">
        <f t="array" ref="T24">IF(ROWS(T$20:T24)&lt;=$S$21,INDEX('Cross-cutting issues'!$C$5:$C$16,SMALL(IF(crossstage=2,IF(crossstatus=0,ROW(crossstatus)-ROW('Cross-cutting issues'!$E$5)+1)),ROWS(T$20:T24))),"")</f>
        <v/>
      </c>
      <c r="U24" s="228" t="str">
        <f t="array" ref="U24">IF(ROWS(U$20:U24)&lt;=$S$22,INDEX('Cross-cutting issues'!$C$5:$C$16,SMALL(IF(crossstage=2,IF(crossstatus=1,ROW(crossstatus)-ROW('Cross-cutting issues'!$E$5)+1)),ROWS(U$20:U24))),"")</f>
        <v/>
      </c>
      <c r="Z24" s="106"/>
    </row>
    <row r="25" spans="1:26" s="17" customFormat="1" ht="38.25" x14ac:dyDescent="0.25">
      <c r="A25" s="52"/>
      <c r="B25" s="229" t="str">
        <f t="array" ref="B25">IF(ROWS(B$20:B25)&lt;=$A$21,INDEX(Legislation!$C$5:$C$19,SMALL(IF(STAGE=2,IF(STATUS=0,ROW(STATUS)-ROW(Legislation!$E$5)+1)),ROWS(B$20:B25))),"")</f>
        <v/>
      </c>
      <c r="C25" s="224" t="str">
        <f t="array" ref="C25">IF(ROWS(C$20:C25)&lt;=$A$22,INDEX(Legislation!$C$5:$C$19,SMALL(IF(STAGE=2,IF(STATUS=1,ROW(STATUS)-ROW(Legislation!$E$5)+1)),ROWS(C$20:C25))),"")</f>
        <v/>
      </c>
      <c r="D25" s="225"/>
      <c r="E25" s="229" t="str">
        <f t="array" ref="E25">IF(ROWS(E$20:E25)&lt;=$D$21,INDEX('Data coll &amp; ax'!$C$5:$C$22,SMALL(IF(datastage=2,IF(datastatus=0,ROW(datastatus)-ROW('Data coll &amp; ax'!$E$5)+1)),ROWS(E$20:E25))),"")</f>
        <v/>
      </c>
      <c r="F25" s="224" t="str">
        <f t="array" ref="F25">IF(ROWS(F$20:F25)&lt;=$D$22,INDEX('Data coll &amp; ax'!$C$5:$C$22,SMALL(IF(datastage=2,IF(datastatus=1,ROW(datastatus)-ROW('Data coll &amp; ax'!$E$5)+1)),ROWS(F$20:F25))),"")</f>
        <v/>
      </c>
      <c r="G25" s="226"/>
      <c r="H25" s="227" t="str">
        <f t="array" ref="H25">IF(ROWS(H$20:H25)&lt;=$G$21,INDEX('Lab dx'!$C$5:$C$15,SMALL(IF(labstage=2,IF(labstatus=0,ROW(labstatus)-ROW('Lab dx'!$E$5)+1)),ROWS(H$20:H25))),"")</f>
        <v/>
      </c>
      <c r="I25" s="228" t="str">
        <f t="array" ref="I25">IF(ROWS(I$20:I25)&lt;=$G$22,INDEX('Lab dx'!$C$5:$C$15,SMALL(IF(labstage=2,IF(labstatus=1,ROW(labstatus)-ROW('Lab dx'!$F$5)+1)),ROWS(I$20:I25))),"")</f>
        <v/>
      </c>
      <c r="J25" s="226"/>
      <c r="K25" s="229" t="str">
        <f t="array" ref="K25">IF(ROWS(K$20:K25)&lt;=$J$21,INDEX(IEC!$C$5:$C$21,SMALL(IF(iecstage=2,IF(iecstatus=0,ROW(iecstatus)-ROW(IEC!$E$5)+1)),ROWS(K$20:K25))),"")</f>
        <v/>
      </c>
      <c r="L25" s="224" t="str">
        <f t="array" ref="L25">IF(ROWS(L$20:L25)&lt;=$J$22,INDEX(IEC!$C$5:$C$21,SMALL(IF(iecstage=2,IF(iecstatus=1,ROW(iecstatus)-ROW(IEC!$E$5)+1)),ROWS(L$20:L25))),"")</f>
        <v/>
      </c>
      <c r="M25" s="230"/>
      <c r="N25" s="227" t="str">
        <f t="array" ref="N25">IF(ROWS(N$20:N25)&lt;=$M$21,INDEX('Prev &amp; Ctrl'!$C$5:$C$29,SMALL(IF(prevstage=2,IF(prevstatus=0,ROW(prevstatus)-ROW('Prev &amp; Ctrl'!$E$5)+1)),ROWS(N$20:N25))),"")</f>
        <v>IBCM SOPs agreed, including sharing of information between sectors</v>
      </c>
      <c r="O25" s="228" t="str">
        <f t="array" ref="O25">IF(ROWS(O$20:O25)&lt;=$M$22,INDEX('Prev &amp; Ctrl'!$C$5:$C$29,SMALL(IF(prevstage=2,IF(prevstatus=1,ROW(prevstatus)-ROW('Prev &amp; Ctrl'!$E$5)+1)),ROWS(O$20:O25))),"")</f>
        <v/>
      </c>
      <c r="P25" s="226"/>
      <c r="Q25" s="229" t="str">
        <f t="array" ref="Q25">IF(ROWS(Q$20:Q25)&lt;=$P$21,INDEX('Dog popn'!$C$5:$C$9,SMALL(IF(dogstage=2,IF(dogstatus=0,ROW(dogstatus)-ROW('Dog popn'!$E$5)+1)),ROWS(Q$20:Q25))),"")</f>
        <v/>
      </c>
      <c r="R25" s="242" t="str">
        <f t="array" ref="R25">IF(ROWS(R$20:R25)&lt;=$P$22,INDEX('Dog popn'!$C$5:$C$9,SMALL(IF(dogstage=2,IF(dogstatus=1,ROW(dogstatus)-ROW('Dog popn'!$E$5)+1)),ROWS(R$20:R25))),"")</f>
        <v/>
      </c>
      <c r="S25" s="226"/>
      <c r="T25" s="227" t="str">
        <f t="array" ref="T25">IF(ROWS(T$20:T25)&lt;=$S$21,INDEX('Cross-cutting issues'!$C$5:$C$16,SMALL(IF(crossstage=2,IF(crossstatus=0,ROW(crossstatus)-ROW('Cross-cutting issues'!$E$5)+1)),ROWS(T$20:T25))),"")</f>
        <v/>
      </c>
      <c r="U25" s="228" t="str">
        <f t="array" ref="U25">IF(ROWS(U$20:U25)&lt;=$S$22,INDEX('Cross-cutting issues'!$C$5:$C$16,SMALL(IF(crossstage=2,IF(crossstatus=1,ROW(crossstatus)-ROW('Cross-cutting issues'!$E$5)+1)),ROWS(U$20:U25))),"")</f>
        <v/>
      </c>
      <c r="Z25" s="106"/>
    </row>
    <row r="26" spans="1:26" s="17" customFormat="1" ht="38.25" x14ac:dyDescent="0.25">
      <c r="A26" s="52"/>
      <c r="B26" s="229" t="str">
        <f t="array" ref="B26">IF(ROWS(B$20:B26)&lt;=$A$21,INDEX(Legislation!$C$5:$C$19,SMALL(IF(STAGE=2,IF(STATUS=0,ROW(STATUS)-ROW(Legislation!$E$5)+1)),ROWS(B$20:B26))),"")</f>
        <v/>
      </c>
      <c r="C26" s="224" t="str">
        <f t="array" ref="C26">IF(ROWS(C$20:C26)&lt;=$A$22,INDEX(Legislation!$C$5:$C$19,SMALL(IF(STAGE=2,IF(STATUS=1,ROW(STATUS)-ROW(Legislation!$E$5)+1)),ROWS(C$20:C26))),"")</f>
        <v/>
      </c>
      <c r="D26" s="225"/>
      <c r="E26" s="229" t="str">
        <f t="array" ref="E26">IF(ROWS(E$20:E26)&lt;=$D$21,INDEX('Data coll &amp; ax'!$C$5:$C$22,SMALL(IF(datastage=2,IF(datastatus=0,ROW(datastatus)-ROW('Data coll &amp; ax'!$E$5)+1)),ROWS(E$20:E26))),"")</f>
        <v/>
      </c>
      <c r="F26" s="224" t="str">
        <f t="array" ref="F26">IF(ROWS(F$20:F26)&lt;=$D$22,INDEX('Data coll &amp; ax'!$C$5:$C$22,SMALL(IF(datastage=2,IF(datastatus=1,ROW(datastatus)-ROW('Data coll &amp; ax'!$E$5)+1)),ROWS(F$20:F26))),"")</f>
        <v/>
      </c>
      <c r="G26" s="226"/>
      <c r="H26" s="227" t="str">
        <f t="array" ref="H26">IF(ROWS(H$20:H26)&lt;=$G$21,INDEX('Lab dx'!$C$5:$C$15,SMALL(IF(labstage=2,IF(labstatus=0,ROW(labstatus)-ROW('Lab dx'!$E$5)+1)),ROWS(H$20:H26))),"")</f>
        <v/>
      </c>
      <c r="I26" s="228" t="str">
        <f t="array" ref="I26">IF(ROWS(I$20:I26)&lt;=$G$22,INDEX('Lab dx'!$C$5:$C$15,SMALL(IF(labstage=2,IF(labstatus=1,ROW(labstatus)-ROW('Lab dx'!$F$5)+1)),ROWS(I$20:I26))),"")</f>
        <v/>
      </c>
      <c r="J26" s="226"/>
      <c r="K26" s="229" t="str">
        <f t="array" ref="K26">IF(ROWS(K$20:K26)&lt;=$J$21,INDEX(IEC!$C$5:$C$21,SMALL(IF(iecstage=2,IF(iecstatus=0,ROW(iecstatus)-ROW(IEC!$E$5)+1)),ROWS(K$20:K26))),"")</f>
        <v/>
      </c>
      <c r="L26" s="224" t="str">
        <f t="array" ref="L26">IF(ROWS(L$20:L26)&lt;=$J$22,INDEX(IEC!$C$5:$C$21,SMALL(IF(iecstage=2,IF(iecstatus=1,ROW(iecstatus)-ROW(IEC!$E$5)+1)),ROWS(L$20:L26))),"")</f>
        <v/>
      </c>
      <c r="M26" s="230"/>
      <c r="N26" s="227" t="str">
        <f t="array" ref="N26">IF(ROWS(N$20:N26)&lt;=$M$21,INDEX('Prev &amp; Ctrl'!$C$5:$C$29,SMALL(IF(prevstage=2,IF(prevstatus=0,ROW(prevstatus)-ROW('Prev &amp; Ctrl'!$E$5)+1)),ROWS(N$20:N26))),"")</f>
        <v xml:space="preserve">SOPs for the observation of dogs involved in biting incidents available </v>
      </c>
      <c r="O26" s="228" t="str">
        <f t="array" ref="O26">IF(ROWS(O$20:O26)&lt;=$M$22,INDEX('Prev &amp; Ctrl'!$C$5:$C$29,SMALL(IF(prevstage=2,IF(prevstatus=1,ROW(prevstatus)-ROW('Prev &amp; Ctrl'!$E$5)+1)),ROWS(O$20:O26))),"")</f>
        <v/>
      </c>
      <c r="P26" s="226"/>
      <c r="Q26" s="229" t="str">
        <f t="array" ref="Q26">IF(ROWS(Q$20:Q26)&lt;=$P$21,INDEX('Dog popn'!$C$5:$C$9,SMALL(IF(dogstage=2,IF(dogstatus=0,ROW(dogstatus)-ROW('Dog popn'!$E$5)+1)),ROWS(Q$20:Q26))),"")</f>
        <v/>
      </c>
      <c r="R26" s="242" t="str">
        <f t="array" ref="R26">IF(ROWS(R$20:R26)&lt;=$P$22,INDEX('Dog popn'!$C$5:$C$9,SMALL(IF(dogstage=2,IF(dogstatus=1,ROW(dogstatus)-ROW('Dog popn'!$E$5)+1)),ROWS(R$20:R26))),"")</f>
        <v/>
      </c>
      <c r="S26" s="226"/>
      <c r="T26" s="227" t="str">
        <f t="array" ref="T26">IF(ROWS(T$20:T26)&lt;=$S$21,INDEX('Cross-cutting issues'!$C$5:$C$16,SMALL(IF(crossstage=2,IF(crossstatus=0,ROW(crossstatus)-ROW('Cross-cutting issues'!$E$5)+1)),ROWS(T$20:T26))),"")</f>
        <v/>
      </c>
      <c r="U26" s="228" t="str">
        <f t="array" ref="U26">IF(ROWS(U$20:U26)&lt;=$S$22,INDEX('Cross-cutting issues'!$C$5:$C$16,SMALL(IF(crossstage=2,IF(crossstatus=1,ROW(crossstatus)-ROW('Cross-cutting issues'!$E$5)+1)),ROWS(U$20:U26))),"")</f>
        <v/>
      </c>
      <c r="Z26" s="106"/>
    </row>
    <row r="27" spans="1:26" s="17" customFormat="1" x14ac:dyDescent="0.25">
      <c r="A27" s="52"/>
      <c r="B27" s="229" t="str">
        <f t="array" ref="B27">IF(ROWS(B$20:B27)&lt;=$A$21,INDEX(Legislation!$C$5:$C$19,SMALL(IF(STAGE=2,IF(STATUS=0,ROW(STATUS)-ROW(Legislation!$E$5)+1)),ROWS(B$20:B27))),"")</f>
        <v/>
      </c>
      <c r="C27" s="224" t="str">
        <f t="array" ref="C27">IF(ROWS(C$20:C27)&lt;=$A$22,INDEX(Legislation!$C$5:$C$19,SMALL(IF(STAGE=2,IF(STATUS=1,ROW(STATUS)-ROW(Legislation!$E$5)+1)),ROWS(C$20:C27))),"")</f>
        <v/>
      </c>
      <c r="D27" s="225"/>
      <c r="E27" s="229" t="str">
        <f t="array" ref="E27">IF(ROWS(E$20:E27)&lt;=$D$21,INDEX('Data coll &amp; ax'!$C$5:$C$22,SMALL(IF(datastage=2,IF(datastatus=0,ROW(datastatus)-ROW('Data coll &amp; ax'!$E$5)+1)),ROWS(E$20:E27))),"")</f>
        <v/>
      </c>
      <c r="F27" s="224" t="str">
        <f t="array" ref="F27">IF(ROWS(F$20:F27)&lt;=$D$22,INDEX('Data coll &amp; ax'!$C$5:$C$22,SMALL(IF(datastage=2,IF(datastatus=1,ROW(datastatus)-ROW('Data coll &amp; ax'!$E$5)+1)),ROWS(F$20:F27))),"")</f>
        <v/>
      </c>
      <c r="G27" s="226"/>
      <c r="H27" s="227" t="str">
        <f t="array" ref="H27">IF(ROWS(H$20:H27)&lt;=$G$21,INDEX('Lab dx'!$C$5:$C$15,SMALL(IF(labstage=2,IF(labstatus=0,ROW(labstatus)-ROW('Lab dx'!$E$5)+1)),ROWS(H$20:H27))),"")</f>
        <v/>
      </c>
      <c r="I27" s="228" t="str">
        <f t="array" ref="I27">IF(ROWS(I$20:I27)&lt;=$G$22,INDEX('Lab dx'!$C$5:$C$15,SMALL(IF(labstage=2,IF(labstatus=1,ROW(labstatus)-ROW('Lab dx'!$F$5)+1)),ROWS(I$20:I27))),"")</f>
        <v/>
      </c>
      <c r="J27" s="226"/>
      <c r="K27" s="229" t="str">
        <f t="array" ref="K27">IF(ROWS(K$20:K27)&lt;=$J$21,INDEX(IEC!$C$5:$C$21,SMALL(IF(iecstage=2,IF(iecstatus=0,ROW(iecstatus)-ROW(IEC!$E$5)+1)),ROWS(K$20:K27))),"")</f>
        <v/>
      </c>
      <c r="L27" s="224" t="str">
        <f t="array" ref="L27">IF(ROWS(L$20:L27)&lt;=$J$22,INDEX(IEC!$C$5:$C$21,SMALL(IF(iecstage=2,IF(iecstatus=1,ROW(iecstatus)-ROW(IEC!$E$5)+1)),ROWS(L$20:L27))),"")</f>
        <v/>
      </c>
      <c r="M27" s="230"/>
      <c r="N27" s="227" t="str">
        <f t="array" ref="N27">IF(ROWS(N$20:N27)&lt;=$M$21,INDEX('Prev &amp; Ctrl'!$C$5:$C$29,SMALL(IF(prevstage=2,IF(prevstatus=0,ROW(prevstatus)-ROW('Prev &amp; Ctrl'!$E$5)+1)),ROWS(N$20:N27))),"")</f>
        <v/>
      </c>
      <c r="O27" s="228" t="str">
        <f t="array" ref="O27">IF(ROWS(O$20:O27)&lt;=$M$22,INDEX('Prev &amp; Ctrl'!$C$5:$C$29,SMALL(IF(prevstage=2,IF(prevstatus=1,ROW(prevstatus)-ROW('Prev &amp; Ctrl'!$E$5)+1)),ROWS(O$20:O27))),"")</f>
        <v/>
      </c>
      <c r="P27" s="226"/>
      <c r="Q27" s="229" t="str">
        <f t="array" ref="Q27">IF(ROWS(Q$20:Q27)&lt;=$P$21,INDEX('Dog popn'!$C$5:$C$9,SMALL(IF(dogstage=2,IF(dogstatus=0,ROW(dogstatus)-ROW('Dog popn'!$E$5)+1)),ROWS(Q$20:Q27))),"")</f>
        <v/>
      </c>
      <c r="R27" s="242" t="str">
        <f t="array" ref="R27">IF(ROWS(R$20:R27)&lt;=$P$22,INDEX('Dog popn'!$C$5:$C$9,SMALL(IF(dogstage=2,IF(dogstatus=1,ROW(dogstatus)-ROW('Dog popn'!$E$5)+1)),ROWS(R$20:R27))),"")</f>
        <v/>
      </c>
      <c r="S27" s="226"/>
      <c r="T27" s="227" t="str">
        <f t="array" ref="T27">IF(ROWS(T$20:T27)&lt;=$S$21,INDEX('Cross-cutting issues'!$C$5:$C$16,SMALL(IF(crossstage=2,IF(crossstatus=0,ROW(crossstatus)-ROW('Cross-cutting issues'!$E$5)+1)),ROWS(T$20:T27))),"")</f>
        <v/>
      </c>
      <c r="U27" s="228" t="str">
        <f t="array" ref="U27">IF(ROWS(U$20:U27)&lt;=$S$22,INDEX('Cross-cutting issues'!$C$5:$C$16,SMALL(IF(crossstage=2,IF(crossstatus=1,ROW(crossstatus)-ROW('Cross-cutting issues'!$E$5)+1)),ROWS(U$20:U27))),"")</f>
        <v/>
      </c>
      <c r="Z27" s="107"/>
    </row>
    <row r="28" spans="1:26" s="17" customFormat="1" x14ac:dyDescent="0.25">
      <c r="A28" s="53"/>
      <c r="B28" s="231" t="str">
        <f t="array" ref="B28">IF(ROWS(B$20:B28)&lt;=$A$21,INDEX(Legislation!$C$5:$C$19,SMALL(IF(STAGE=2,IF(STATUS=0,ROW(STATUS)-ROW(Legislation!$E$5)+1)),ROWS(B$20:B28))),"")</f>
        <v/>
      </c>
      <c r="C28" s="232" t="str">
        <f t="array" ref="C28">IF(ROWS(C$20:C28)&lt;=$A$22,INDEX(Legislation!$C$5:$C$19,SMALL(IF(STAGE=2,IF(STATUS=1,ROW(STATUS)-ROW(Legislation!$E$5)+1)),ROWS(C$20:C28))),"")</f>
        <v/>
      </c>
      <c r="D28" s="233"/>
      <c r="E28" s="231" t="str">
        <f t="array" ref="E28">IF(ROWS(E$20:E28)&lt;=$D$21,INDEX('Data coll &amp; ax'!$C$5:$C$22,SMALL(IF(datastage=2,IF(datastatus=0,ROW(datastatus)-ROW('Data coll &amp; ax'!$E$5)+1)),ROWS(E$20:E28))),"")</f>
        <v/>
      </c>
      <c r="F28" s="232" t="str">
        <f t="array" ref="F28">IF(ROWS(F$20:F28)&lt;=$D$22,INDEX('Data coll &amp; ax'!$C$5:$C$22,SMALL(IF(datastage=2,IF(datastatus=1,ROW(datastatus)-ROW('Data coll &amp; ax'!$E$5)+1)),ROWS(F$20:F28))),"")</f>
        <v/>
      </c>
      <c r="G28" s="234"/>
      <c r="H28" s="235" t="str">
        <f t="array" ref="H28">IF(ROWS(H$20:H28)&lt;=$G$21,INDEX('Lab dx'!$C$5:$C$15,SMALL(IF(labstage=2,IF(labstatus=0,ROW(labstatus)-ROW('Lab dx'!$E$5)+1)),ROWS(H$20:H28))),"")</f>
        <v/>
      </c>
      <c r="I28" s="236" t="str">
        <f t="array" ref="I28">IF(ROWS(I$20:I28)&lt;=$G$22,INDEX('Lab dx'!$C$5:$C$15,SMALL(IF(labstage=2,IF(labstatus=1,ROW(labstatus)-ROW('Lab dx'!$F$5)+1)),ROWS(I$20:I28))),"")</f>
        <v/>
      </c>
      <c r="J28" s="234"/>
      <c r="K28" s="231" t="str">
        <f t="array" ref="K28">IF(ROWS(K$20:K28)&lt;=$J$21,INDEX(IEC!$C$5:$C$21,SMALL(IF(iecstage=2,IF(iecstatus=0,ROW(iecstatus)-ROW(IEC!$E$5)+1)),ROWS(K$20:K28))),"")</f>
        <v/>
      </c>
      <c r="L28" s="232" t="str">
        <f t="array" ref="L28">IF(ROWS(L$20:L28)&lt;=$J$22,INDEX(IEC!$C$5:$C$21,SMALL(IF(iecstage=2,IF(iecstatus=1,ROW(iecstatus)-ROW(IEC!$E$5)+1)),ROWS(L$20:L28))),"")</f>
        <v/>
      </c>
      <c r="M28" s="237"/>
      <c r="N28" s="235" t="str">
        <f t="array" ref="N28">IF(ROWS(N$20:N28)&lt;=$M$21,INDEX('Prev &amp; Ctrl'!$C$5:$C$29,SMALL(IF(prevstage=2,IF(prevstatus=0,ROW(prevstatus)-ROW('Prev &amp; Ctrl'!$E$5)+1)),ROWS(N$20:N28))),"")</f>
        <v/>
      </c>
      <c r="O28" s="236" t="str">
        <f t="array" ref="O28">IF(ROWS(O$20:O28)&lt;=$M$22,INDEX('Prev &amp; Ctrl'!$C$5:$C$29,SMALL(IF(prevstage=2,IF(prevstatus=1,ROW(prevstatus)-ROW('Prev &amp; Ctrl'!$E$5)+1)),ROWS(O$20:O28))),"")</f>
        <v/>
      </c>
      <c r="P28" s="234"/>
      <c r="Q28" s="231" t="str">
        <f t="array" ref="Q28">IF(ROWS(Q$20:Q28)&lt;=$P$21,INDEX('Dog popn'!$C$5:$C$9,SMALL(IF(dogstage=2,IF(dogstatus=0,ROW(dogstatus)-ROW('Dog popn'!$E$5)+1)),ROWS(Q$20:Q28))),"")</f>
        <v/>
      </c>
      <c r="R28" s="243" t="str">
        <f t="array" ref="R28">IF(ROWS(R$20:R28)&lt;=$P$22,INDEX('Dog popn'!$C$5:$C$9,SMALL(IF(dogstage=2,IF(dogstatus=1,ROW(dogstatus)-ROW('Dog popn'!$E$5)+1)),ROWS(R$20:R28))),"")</f>
        <v/>
      </c>
      <c r="S28" s="234"/>
      <c r="T28" s="235" t="str">
        <f t="array" ref="T28">IF(ROWS(T$20:T28)&lt;=$S$21,INDEX('Cross-cutting issues'!$C$5:$C$16,SMALL(IF(crossstage=2,IF(crossstatus=0,ROW(crossstatus)-ROW('Cross-cutting issues'!$E$5)+1)),ROWS(T$20:T28))),"")</f>
        <v/>
      </c>
      <c r="U28" s="236" t="str">
        <f t="array" ref="U28">IF(ROWS(U$20:U28)&lt;=$S$22,INDEX('Cross-cutting issues'!$C$5:$C$16,SMALL(IF(crossstage=2,IF(crossstatus=1,ROW(crossstatus)-ROW('Cross-cutting issues'!$E$5)+1)),ROWS(U$20:U28))),"")</f>
        <v/>
      </c>
      <c r="Z28" s="106"/>
    </row>
    <row r="29" spans="1:26" s="17" customFormat="1" ht="51" x14ac:dyDescent="0.25">
      <c r="A29" s="58">
        <v>3</v>
      </c>
      <c r="B29" s="216" t="str">
        <f t="array" ref="B29">IF(ROWS(B$29:B29)&lt;=$A$30,INDEX(Legislation!$C$5:$C$19,SMALL(IF(STAGE=3,IF(STATUS=0,ROW(STATUS)-ROW(Legislation!$E$5)+1)),ROWS(B$29:B29))),"")</f>
        <v/>
      </c>
      <c r="C29" s="217" t="str">
        <f t="array" ref="C29">IF(ROWS(C$29:C29)&lt;=$A$31,INDEX(Legislation!$C$5:$C$19,SMALL(IF(STAGE=3,IF(STATUS=1,ROW(STATUS)-ROW(Legislation!$E$5)+1)),ROWS(C$29:C29))),"")</f>
        <v/>
      </c>
      <c r="D29" s="218"/>
      <c r="E29" s="216" t="str">
        <f t="array" ref="E29">IF(ROWS(E$29:E29)&lt;=$D$30,INDEX('Data coll &amp; ax'!$C$5:$C$22,SMALL(IF(datastage=3,IF(datastatus=0,ROW(datastatus)-ROW('Data coll &amp; ax'!$E$5)+1)),ROWS(E$29:E29))),"")</f>
        <v xml:space="preserve">Conduct field investigations for all suspected human rabies cases </v>
      </c>
      <c r="F29" s="217" t="str">
        <f t="array" ref="F29">IF(ROWS(F$29:F29)&lt;=$D$31,INDEX('Data coll &amp; ax'!$C$5:$C$22,SMALL(IF(datastage=3,IF(datastatus=1,ROW(datastatus)-ROW('Data coll &amp; ax'!$E$5)+1)),ROWS(F$29:F29))),"")</f>
        <v/>
      </c>
      <c r="G29" s="219"/>
      <c r="H29" s="220" t="str">
        <f t="array" ref="H29">IF(ROWS(H$29:H29)&lt;=$G$30,INDEX('Lab dx'!$C$5:$C$15,SMALL(IF(labstage=3,IF(labstatus=0,ROW(labstatus)-ROW('Lab dx'!$E$5)+1)),ROWS(H$29:H29))),"")</f>
        <v>Access to laboratory diagnosis is available throughout the country  for animal samples (and if possible also for human samples)</v>
      </c>
      <c r="I29" s="221" t="str">
        <f t="array" ref="I29">IF(ROWS(I$29:I29)&lt;=$G$31,INDEX('Lab dx'!$C$5:$C$15,SMALL(IF(labstage=3,IF(labstatus=1,ROW(labstatus)-ROW('Lab dx'!$F$5)+1)),ROWS(I$29:I29))),"")</f>
        <v/>
      </c>
      <c r="J29" s="219"/>
      <c r="K29" s="216" t="str">
        <f t="array" ref="K29">IF(ROWS(K$29:K29)&lt;=$J$30,INDEX(IEC!$C$5:$C$21,SMALL(IF(iecstage=3,IF(iecstatus=0,ROW(iecstatus)-ROW(IEC!$E$5)+1)),ROWS(K$29:K29))),"")</f>
        <v>Communication plan on rabies elimination is implemented</v>
      </c>
      <c r="L29" s="217" t="str">
        <f t="array" ref="L29">IF(ROWS(L$29:L29)&lt;=$J$31,INDEX(IEC!$C$5:$C$21,SMALL(IF(iecstage=3,IF(iecstatus=1,ROW(iecstatus)-ROW(IEC!$E$5)+1)),ROWS(L$29:L29))),"")</f>
        <v/>
      </c>
      <c r="M29" s="222"/>
      <c r="N29" s="220" t="str">
        <f t="array" ref="N29">IF(ROWS(N$29:N29)&lt;=$M$30,INDEX('Prev &amp; Ctrl'!$C$5:$C$29,SMALL(IF(prevstage=3,IF(prevstatus=0,ROW(prevstatus)-ROW('Prev &amp; Ctrl'!$E$5)+1)),ROWS(N$29:N29))),"")</f>
        <v>WHO pre-qualified Pre- and Post- Exposure Prophylaxis available and accessible to high risk and exposed individuals throughout the country</v>
      </c>
      <c r="O29" s="221" t="str">
        <f t="array" ref="O29">IF(ROWS(O$29:O29)&lt;=$M$31,INDEX('Prev &amp; Ctrl'!$C$5:$C$29,SMALL(IF(prevstage=3,IF(prevstatus=1,ROW(prevstatus)-ROW('Prev &amp; Ctrl'!$E$5)+1)),ROWS(O$29:O29))),"")</f>
        <v/>
      </c>
      <c r="P29" s="219"/>
      <c r="Q29" s="216" t="str">
        <f t="array" ref="Q29">IF(ROWS(Q$29:Q29)&lt;=$P$30,INDEX('Dog popn'!$C$5:C32,SMALL(IF(dogstage=3,IF(dogstatus=0,ROW(dogstatus)-ROW('Dog popn'!$E$5)+1)),ROWS(Q$29:Q29))),"")</f>
        <v/>
      </c>
      <c r="R29" s="217" t="str">
        <f t="array" ref="R29">IF(ROWS(R$29:R29)&lt;=$P$31,INDEX('Dog popn'!$C$5:$C$9,SMALL(IF(dogstage=3,IF(dogstatus=1,ROW(dogstatus)-ROW('Dog popn'!$E$5)+1)),ROWS(R$29:R29))),"")</f>
        <v/>
      </c>
      <c r="S29" s="219"/>
      <c r="T29" s="220" t="str">
        <f t="array" ref="T29">IF(ROWS(T$29:T29)&lt;=$S$30,INDEX('Cross-cutting issues'!$C$5:$C$16,SMALL(IF(crossstage=3,IF(crossstatus=0,ROW(crossstatus)-ROW('Cross-cutting issues'!$E$5)+1)),ROWS(T$29:T29))),"")</f>
        <v xml:space="preserve">Refinement of national strategy based on monitoring and evaluation </v>
      </c>
      <c r="U29" s="221" t="str">
        <f t="array" ref="U29">IF(ROWS(U$29:U29)&lt;=$S$31,INDEX('Cross-cutting issues'!$C$5:$C$16,SMALL(IF(crossstage=3,IF(crossstatus=1,ROW(crossstatus)-ROW('Cross-cutting issues'!$E$5)+1)),ROWS(U$29:U29))),"")</f>
        <v/>
      </c>
      <c r="Z29" s="110"/>
    </row>
    <row r="30" spans="1:26" s="17" customFormat="1" ht="63.75" x14ac:dyDescent="0.25">
      <c r="A30" s="51">
        <f>SUMPRODUCT((STAGE=3)*(STATUS=0))</f>
        <v>0</v>
      </c>
      <c r="B30" s="229" t="str">
        <f t="array" ref="B30">IF(ROWS(B$29:B30)&lt;=$A$30,INDEX(Legislation!$C$5:$C$19,SMALL(IF(STAGE=3,IF(STATUS=0,ROW(STATUS)-ROW(Legislation!$E$5)+1)),ROWS(B$29:B30))),"")</f>
        <v/>
      </c>
      <c r="C30" s="224" t="str">
        <f t="array" ref="C30">IF(ROWS(C$29:C30)&lt;=$A$31,INDEX(Legislation!$C$5:$C$19,SMALL(IF(STAGE=3,IF(STATUS=1,ROW(STATUS)-ROW(Legislation!$E$5)+1)),ROWS(C$29:C30))),"")</f>
        <v/>
      </c>
      <c r="D30" s="225">
        <f>SUMPRODUCT(((datastage=3)*(datastatus=0)))</f>
        <v>5</v>
      </c>
      <c r="E30" s="229" t="str">
        <f t="array" ref="E30">IF(ROWS(E$29:E30)&lt;=$D$30,INDEX('Data coll &amp; ax'!$C$5:$C$22,SMALL(IF(datastage=3,IF(datastatus=0,ROW(datastatus)-ROW('Data coll &amp; ax'!$E$5)+1)),ROWS(E$29:E30))),"")</f>
        <v>Epidemiological evidence available to rule out dog- transmitted human rabies cases</v>
      </c>
      <c r="F30" s="224" t="str">
        <f t="array" ref="F30">IF(ROWS(F$29:F30)&lt;=$D$31,INDEX('Data coll &amp; ax'!$C$5:$C$22,SMALL(IF(datastage=3,IF(datastatus=1,ROW(datastatus)-ROW('Data coll &amp; ax'!$E$5)+1)),ROWS(F$29:F30))),"")</f>
        <v/>
      </c>
      <c r="G30" s="226">
        <f>SUMPRODUCT((labstage=3)*(labstatus=0))</f>
        <v>2</v>
      </c>
      <c r="H30" s="227" t="str">
        <f t="array" ref="H30">IF(ROWS(H$29:H30)&lt;=$G$30,INDEX('Lab dx'!$C$5:$C$15,SMALL(IF(labstage=3,IF(labstatus=0,ROW(labstatus)-ROW('Lab dx'!$E$5)+1)),ROWS(H$29:H30))),"")</f>
        <v>Regular characterization and analysis of circulating rabies virus variants by a national or international laboratory</v>
      </c>
      <c r="I30" s="228" t="str">
        <f t="array" ref="I30">IF(ROWS(I$29:I30)&lt;=$G$31,INDEX('Lab dx'!$C$5:$C$15,SMALL(IF(labstage=3,IF(labstatus=1,ROW(labstatus)-ROW('Lab dx'!$F$5)+1)),ROWS(I$29:I30))),"")</f>
        <v/>
      </c>
      <c r="J30" s="226">
        <f>SUMPRODUCT((iecstage=3)*(iecstatus=0))</f>
        <v>4</v>
      </c>
      <c r="K30" s="229" t="str">
        <f t="array" ref="K30">IF(ROWS(K$29:K30)&lt;=$J$30,INDEX(IEC!$C$5:$C$21,SMALL(IF(iecstage=3,IF(iecstatus=0,ROW(iecstatus)-ROW(IEC!$E$5)+1)),ROWS(K$29:K30))),"")</f>
        <v>Declaration of  dog-transmitted rabies free zones publicized</v>
      </c>
      <c r="L30" s="224" t="str">
        <f t="array" ref="L30">IF(ROWS(L$29:L30)&lt;=$J$31,INDEX(IEC!$C$5:$C$21,SMALL(IF(iecstage=3,IF(iecstatus=1,ROW(iecstatus)-ROW(IEC!$E$5)+1)),ROWS(L$29:L30))),"")</f>
        <v/>
      </c>
      <c r="M30" s="230">
        <f>SUMPRODUCT((prevstage=3)*(prevstatus=0))</f>
        <v>6</v>
      </c>
      <c r="N30" s="227" t="str">
        <f t="array" ref="N30">IF(ROWS(N$29:N30)&lt;=$M$30,INDEX('Prev &amp; Ctrl'!$C$5:$C$29,SMALL(IF(prevstage=3,IF(prevstatus=0,ROW(prevstatus)-ROW('Prev &amp; Ctrl'!$E$5)+1)),ROWS(N$29:N30))),"")</f>
        <v xml:space="preserve">Mass dog vaccination campaigns (at least 70% of the total dog population) are conducted according to the national rabies strategy </v>
      </c>
      <c r="O30" s="228" t="str">
        <f t="array" ref="O30">IF(ROWS(O$29:O30)&lt;=$M$31,INDEX('Prev &amp; Ctrl'!$C$5:$C$29,SMALL(IF(prevstage=3,IF(prevstatus=1,ROW(prevstatus)-ROW('Prev &amp; Ctrl'!$E$5)+1)),ROWS(O$29:O30))),"")</f>
        <v/>
      </c>
      <c r="P30" s="226">
        <f>SUMPRODUCT((dogstage=3)*(dogstatus=0))</f>
        <v>0</v>
      </c>
      <c r="Q30" s="229" t="str">
        <f t="array" ref="Q30">IF(ROWS(Q$29:Q30)&lt;=$P$30,INDEX('Dog popn'!$C$5:C33,SMALL(IF(dogstage=3,IF(dogstatus=0,ROW(dogstatus)-ROW('Dog popn'!$E$5)+1)),ROWS(Q$29:Q30))),"")</f>
        <v/>
      </c>
      <c r="R30" s="224" t="str">
        <f t="array" ref="R30">IF(ROWS(R$29:R30)&lt;=$P$31,INDEX('Dog popn'!$C$5:$C$9,SMALL(IF(dogstage=3,IF(dogstatus=1,ROW(dogstatus)-ROW('Dog popn'!$E$5)+1)),ROWS(R$29:R30))),"")</f>
        <v/>
      </c>
      <c r="S30" s="226">
        <f>SUMPRODUCT((crossstage=3)*(crossstatus=0))</f>
        <v>1</v>
      </c>
      <c r="T30" s="227" t="str">
        <f t="array" ref="T30">IF(ROWS(T$29:T30)&lt;=$S$30,INDEX('Cross-cutting issues'!$C$5:$C$16,SMALL(IF(crossstage=3,IF(crossstatus=0,ROW(crossstatus)-ROW('Cross-cutting issues'!$E$5)+1)),ROWS(T$29:T30))),"")</f>
        <v/>
      </c>
      <c r="U30" s="228" t="str">
        <f t="array" ref="U30">IF(ROWS(U$29:U30)&lt;=$S$31,INDEX('Cross-cutting issues'!$C$5:$C$16,SMALL(IF(crossstage=3,IF(crossstatus=1,ROW(crossstatus)-ROW('Cross-cutting issues'!$E$5)+1)),ROWS(U$29:U30))),"")</f>
        <v/>
      </c>
      <c r="Z30" s="106"/>
    </row>
    <row r="31" spans="1:26" s="17" customFormat="1" ht="38.25" x14ac:dyDescent="0.25">
      <c r="A31" s="51">
        <f>SUMPRODUCT((STAGE=3)*(STATUS=1))</f>
        <v>0</v>
      </c>
      <c r="B31" s="229" t="str">
        <f t="array" ref="B31">IF(ROWS(B$29:B31)&lt;=$A$30,INDEX(Legislation!$C$5:$C$19,SMALL(IF(STAGE=3,IF(STATUS=0,ROW(STATUS)-ROW(Legislation!$E$5)+1)),ROWS(B$29:B31))),"")</f>
        <v/>
      </c>
      <c r="C31" s="224" t="str">
        <f t="array" ref="C31">IF(ROWS(C$29:C31)&lt;=$A$31,INDEX(Legislation!$C$5:$C$19,SMALL(IF(STAGE=3,IF(STATUS=1,ROW(STATUS)-ROW(Legislation!$E$5)+1)),ROWS(C$29:C31))),"")</f>
        <v/>
      </c>
      <c r="D31" s="225">
        <f>SUMPRODUCT((datastage=3)*(datastatus=1))</f>
        <v>0</v>
      </c>
      <c r="E31" s="229" t="str">
        <f t="array" ref="E31">IF(ROWS(E$29:E31)&lt;=$D$30,INDEX('Data coll &amp; ax'!$C$5:$C$22,SMALL(IF(datastage=3,IF(datastatus=0,ROW(datastatus)-ROW('Data coll &amp; ax'!$E$5)+1)),ROWS(E$29:E31))),"")</f>
        <v>Conduct field investigations and laboratory confirmation for all suspected rabies outbreaks in dogs</v>
      </c>
      <c r="F31" s="224" t="str">
        <f t="array" ref="F31">IF(ROWS(F$29:F31)&lt;=$D$31,INDEX('Data coll &amp; ax'!$C$5:$C$22,SMALL(IF(datastage=3,IF(datastatus=1,ROW(datastatus)-ROW('Data coll &amp; ax'!$E$5)+1)),ROWS(F$29:F31))),"")</f>
        <v/>
      </c>
      <c r="G31" s="226">
        <f>SUMPRODUCT((labstage=3)*(labstatus=1))</f>
        <v>0</v>
      </c>
      <c r="H31" s="227" t="str">
        <f t="array" ref="H31">IF(ROWS(H$29:H31)&lt;=$G$30,INDEX('Lab dx'!$C$5:$C$15,SMALL(IF(labstage=3,IF(labstatus=0,ROW(labstatus)-ROW('Lab dx'!$E$5)+1)),ROWS(H$29:H31))),"")</f>
        <v/>
      </c>
      <c r="I31" s="228" t="str">
        <f t="array" ref="I31">IF(ROWS(I$29:I31)&lt;=$G$31,INDEX('Lab dx'!$C$5:$C$15,SMALL(IF(labstage=3,IF(labstatus=1,ROW(labstatus)-ROW('Lab dx'!$F$5)+1)),ROWS(I$29:I31))),"")</f>
        <v/>
      </c>
      <c r="J31" s="226">
        <f>SUMPRODUCT((iecstage=3)*(iecstatus=1))</f>
        <v>0</v>
      </c>
      <c r="K31" s="229" t="str">
        <f t="array" ref="K31">IF(ROWS(K$29:K31)&lt;=$J$30,INDEX(IEC!$C$5:$C$21,SMALL(IF(iecstage=3,IF(iecstatus=0,ROW(iecstatus)-ROW(IEC!$E$5)+1)),ROWS(K$29:K31))),"")</f>
        <v>Promote responsible dog ownership together with rabies awareness campaigns</v>
      </c>
      <c r="L31" s="224" t="str">
        <f t="array" ref="L31">IF(ROWS(L$29:L31)&lt;=$J$31,INDEX(IEC!$C$5:$C$21,SMALL(IF(iecstage=3,IF(iecstatus=1,ROW(iecstatus)-ROW(IEC!$E$5)+1)),ROWS(L$29:L31))),"")</f>
        <v/>
      </c>
      <c r="M31" s="230">
        <f>SUMPRODUCT((prevstage=3)*(prevstatus=1))</f>
        <v>0</v>
      </c>
      <c r="N31" s="227" t="str">
        <f t="array" ref="N31">IF(ROWS(N$29:N31)&lt;=$M$30,INDEX('Prev &amp; Ctrl'!$C$5:$C$29,SMALL(IF(prevstage=3,IF(prevstatus=0,ROW(prevstatus)-ROW('Prev &amp; Ctrl'!$E$5)+1)),ROWS(N$29:N31))),"")</f>
        <v>Post-vaccination surveys in dogs to evaluate vaccination coverage</v>
      </c>
      <c r="O31" s="228" t="str">
        <f t="array" ref="O31">IF(ROWS(O$29:O31)&lt;=$M$31,INDEX('Prev &amp; Ctrl'!$C$5:$C$29,SMALL(IF(prevstage=3,IF(prevstatus=1,ROW(prevstatus)-ROW('Prev &amp; Ctrl'!$E$5)+1)),ROWS(O$29:O31))),"")</f>
        <v/>
      </c>
      <c r="P31" s="226">
        <f>SUMPRODUCT((dogstage=3)*(dogstatus=1))</f>
        <v>0</v>
      </c>
      <c r="Q31" s="229" t="str">
        <f t="array" ref="Q31">IF(ROWS(Q$29:Q31)&lt;=$P$30,INDEX('Dog popn'!$C$5:C34,SMALL(IF(dogstage=3,IF(dogstatus=0,ROW(dogstatus)-ROW('Dog popn'!$E$5)+1)),ROWS(Q$29:Q31))),"")</f>
        <v/>
      </c>
      <c r="R31" s="224" t="str">
        <f t="array" ref="R31">IF(ROWS(R$29:R31)&lt;=$P$31,INDEX('Dog popn'!$C$5:$C$9,SMALL(IF(dogstage=3,IF(dogstatus=1,ROW(dogstatus)-ROW('Dog popn'!$E$5)+1)),ROWS(R$29:R31))),"")</f>
        <v/>
      </c>
      <c r="S31" s="226">
        <f>SUMPRODUCT((crossstage=3)*(crossstatus=1))</f>
        <v>0</v>
      </c>
      <c r="T31" s="227" t="str">
        <f t="array" ref="T31">IF(ROWS(T$29:T31)&lt;=$S$30,INDEX('Cross-cutting issues'!$C$5:$C$16,SMALL(IF(crossstage=3,IF(crossstatus=0,ROW(crossstatus)-ROW('Cross-cutting issues'!$E$5)+1)),ROWS(T$29:T31))),"")</f>
        <v/>
      </c>
      <c r="U31" s="228" t="str">
        <f t="array" ref="U31">IF(ROWS(U$29:U31)&lt;=$S$31,INDEX('Cross-cutting issues'!$C$5:$C$16,SMALL(IF(crossstage=3,IF(crossstatus=1,ROW(crossstatus)-ROW('Cross-cutting issues'!$E$5)+1)),ROWS(U$29:U31))),"")</f>
        <v/>
      </c>
      <c r="Z31" s="106"/>
    </row>
    <row r="32" spans="1:26" s="17" customFormat="1" ht="63.75" x14ac:dyDescent="0.25">
      <c r="A32" s="52"/>
      <c r="B32" s="229" t="str">
        <f t="array" ref="B32">IF(ROWS(B$29:B32)&lt;=$A$30,INDEX(Legislation!$C$5:$C$19,SMALL(IF(STAGE=3,IF(STATUS=0,ROW(STATUS)-ROW(Legislation!$E$5)+1)),ROWS(B$29:B32))),"")</f>
        <v/>
      </c>
      <c r="C32" s="224" t="str">
        <f t="array" ref="C32">IF(ROWS(C$29:C32)&lt;=$A$31,INDEX(Legislation!$C$5:$C$19,SMALL(IF(STAGE=3,IF(STATUS=1,ROW(STATUS)-ROW(Legislation!$E$5)+1)),ROWS(C$29:C32))),"")</f>
        <v/>
      </c>
      <c r="D32" s="225"/>
      <c r="E32" s="229" t="str">
        <f t="array" ref="E32">IF(ROWS(E$29:E32)&lt;=$D$30,INDEX('Data coll &amp; ax'!$C$5:$C$22,SMALL(IF(datastage=3,IF(datastatus=0,ROW(datastatus)-ROW('Data coll &amp; ax'!$E$5)+1)),ROWS(E$29:E32))),"")</f>
        <v xml:space="preserve">Initiate collection of local or national health economic data on rabies control to make the case for rabies control investment </v>
      </c>
      <c r="F32" s="224" t="str">
        <f t="array" ref="F32">IF(ROWS(F$29:F32)&lt;=$D$31,INDEX('Data coll &amp; ax'!$C$5:$C$22,SMALL(IF(datastage=3,IF(datastatus=1,ROW(datastatus)-ROW('Data coll &amp; ax'!$E$5)+1)),ROWS(F$29:F32))),"")</f>
        <v/>
      </c>
      <c r="G32" s="226"/>
      <c r="H32" s="227" t="str">
        <f t="array" ref="H32">IF(ROWS(H$29:H32)&lt;=$G$30,INDEX('Lab dx'!$C$5:$C$15,SMALL(IF(labstage=3,IF(labstatus=0,ROW(labstatus)-ROW('Lab dx'!$E$5)+1)),ROWS(H$29:H32))),"")</f>
        <v/>
      </c>
      <c r="I32" s="228" t="str">
        <f t="array" ref="I32">IF(ROWS(I$29:I32)&lt;=$G$31,INDEX('Lab dx'!$C$5:$C$15,SMALL(IF(labstage=3,IF(labstatus=1,ROW(labstatus)-ROW('Lab dx'!$F$5)+1)),ROWS(I$29:I32))),"")</f>
        <v/>
      </c>
      <c r="J32" s="226"/>
      <c r="K32" s="229" t="str">
        <f t="array" ref="K32">IF(ROWS(K$29:K32)&lt;=$J$30,INDEX(IEC!$C$5:$C$21,SMALL(IF(iecstage=3,IF(iecstatus=0,ROW(iecstatus)-ROW(IEC!$E$5)+1)),ROWS(K$29:K32))),"")</f>
        <v xml:space="preserve">Strengthen public awareness campaigns to advocate dog vaccination to leaders and authorities </v>
      </c>
      <c r="L32" s="224" t="str">
        <f t="array" ref="L32">IF(ROWS(L$29:L32)&lt;=$J$31,INDEX(IEC!$C$5:$C$21,SMALL(IF(iecstage=3,IF(iecstatus=1,ROW(iecstatus)-ROW(IEC!$E$5)+1)),ROWS(L$29:L32))),"")</f>
        <v/>
      </c>
      <c r="M32" s="230"/>
      <c r="N32" s="227" t="str">
        <f t="array" ref="N32">IF(ROWS(N$29:N32)&lt;=$M$30,INDEX('Prev &amp; Ctrl'!$C$5:$C$29,SMALL(IF(prevstage=3,IF(prevstatus=0,ROW(prevstatus)-ROW('Prev &amp; Ctrl'!$E$5)+1)),ROWS(N$29:N32))),"")</f>
        <v>Capacity to conduct field investigations and planned outbreak response for animal and human rabies cases is available in the entire country</v>
      </c>
      <c r="O32" s="228" t="str">
        <f t="array" ref="O32">IF(ROWS(O$29:O32)&lt;=$M$31,INDEX('Prev &amp; Ctrl'!$C$5:$C$29,SMALL(IF(prevstage=3,IF(prevstatus=1,ROW(prevstatus)-ROW('Prev &amp; Ctrl'!$E$5)+1)),ROWS(O$29:O32))),"")</f>
        <v/>
      </c>
      <c r="P32" s="226"/>
      <c r="Q32" s="229" t="str">
        <f t="array" ref="Q32">IF(ROWS(Q$29:Q32)&lt;=$P$30,INDEX('Dog popn'!$C$5:C35,SMALL(IF(dogstage=3,IF(dogstatus=0,ROW(dogstatus)-ROW('Dog popn'!$E$5)+1)),ROWS(Q$29:Q32))),"")</f>
        <v/>
      </c>
      <c r="R32" s="224" t="str">
        <f t="array" ref="R32">IF(ROWS(R$29:R32)&lt;=$P$31,INDEX('Dog popn'!$C$5:$C$9,SMALL(IF(dogstage=3,IF(dogstatus=1,ROW(dogstatus)-ROW('Dog popn'!$E$5)+1)),ROWS(R$29:R32))),"")</f>
        <v/>
      </c>
      <c r="S32" s="226"/>
      <c r="T32" s="227" t="str">
        <f t="array" ref="T32">IF(ROWS(T$29:T32)&lt;=$S$30,INDEX('Cross-cutting issues'!$C$5:$C$16,SMALL(IF(crossstage=3,IF(crossstatus=0,ROW(crossstatus)-ROW('Cross-cutting issues'!$E$5)+1)),ROWS(T$29:T32))),"")</f>
        <v/>
      </c>
      <c r="U32" s="228" t="str">
        <f t="array" ref="U32">IF(ROWS(U$29:U32)&lt;=$S$31,INDEX('Cross-cutting issues'!$C$5:$C$16,SMALL(IF(crossstage=3,IF(crossstatus=1,ROW(crossstatus)-ROW('Cross-cutting issues'!$E$5)+1)),ROWS(U$29:U32))),"")</f>
        <v/>
      </c>
      <c r="Z32" s="106"/>
    </row>
    <row r="33" spans="1:26" s="17" customFormat="1" ht="63.75" x14ac:dyDescent="0.25">
      <c r="A33" s="52"/>
      <c r="B33" s="229" t="str">
        <f t="array" ref="B33">IF(ROWS(B$29:B33)&lt;=$A$30,INDEX(Legislation!$C$5:$C$19,SMALL(IF(STAGE=3,IF(STATUS=0,ROW(STATUS)-ROW(Legislation!$E$5)+1)),ROWS(B$29:B33))),"")</f>
        <v/>
      </c>
      <c r="C33" s="224" t="str">
        <f t="array" ref="C33">IF(ROWS(C$29:C33)&lt;=$A$31,INDEX(Legislation!$C$5:$C$19,SMALL(IF(STAGE=3,IF(STATUS=1,ROW(STATUS)-ROW(Legislation!$E$5)+1)),ROWS(C$29:C33))),"")</f>
        <v/>
      </c>
      <c r="D33" s="225"/>
      <c r="E33" s="229" t="str">
        <f t="array" ref="E33">IF(ROWS(E$29:E33)&lt;=$D$30,INDEX('Data coll &amp; ax'!$C$5:$C$22,SMALL(IF(datastage=3,IF(datastatus=0,ROW(datastatus)-ROW('Data coll &amp; ax'!$E$5)+1)),ROWS(E$29:E33))),"")</f>
        <v>Expand health economic studies to support further prioritization within the national rabies control programme</v>
      </c>
      <c r="F33" s="224" t="str">
        <f t="array" ref="F33">IF(ROWS(F$29:F33)&lt;=$D$31,INDEX('Data coll &amp; ax'!$C$5:$C$22,SMALL(IF(datastage=3,IF(datastatus=1,ROW(datastatus)-ROW('Data coll &amp; ax'!$E$5)+1)),ROWS(F$29:F33))),"")</f>
        <v/>
      </c>
      <c r="G33" s="226"/>
      <c r="H33" s="227" t="str">
        <f t="array" ref="H33">IF(ROWS(H$29:H33)&lt;=$G$30,INDEX('Lab dx'!$C$5:$C$15,SMALL(IF(labstage=3,IF(labstatus=0,ROW(labstatus)-ROW('Lab dx'!$E$5)+1)),ROWS(H$29:H33))),"")</f>
        <v/>
      </c>
      <c r="I33" s="228" t="str">
        <f t="array" ref="I33">IF(ROWS(I$29:I33)&lt;=$G$31,INDEX('Lab dx'!$C$5:$C$15,SMALL(IF(labstage=3,IF(labstatus=1,ROW(labstatus)-ROW('Lab dx'!$F$5)+1)),ROWS(I$29:I33))),"")</f>
        <v/>
      </c>
      <c r="J33" s="226"/>
      <c r="K33" s="229" t="str">
        <f t="array" ref="K33">IF(ROWS(K$29:K33)&lt;=$J$30,INDEX(IEC!$C$5:$C$21,SMALL(IF(iecstage=3,IF(iecstatus=0,ROW(iecstatus)-ROW(IEC!$E$5)+1)),ROWS(K$29:K33))),"")</f>
        <v/>
      </c>
      <c r="L33" s="224" t="str">
        <f t="array" ref="L33">IF(ROWS(L$29:L33)&lt;=$J$31,INDEX(IEC!$C$5:$C$21,SMALL(IF(iecstage=3,IF(iecstatus=1,ROW(iecstatus)-ROW(IEC!$E$5)+1)),ROWS(L$29:L33))),"")</f>
        <v/>
      </c>
      <c r="M33" s="230"/>
      <c r="N33" s="227" t="str">
        <f t="array" ref="N33">IF(ROWS(N$29:N33)&lt;=$M$30,INDEX('Prev &amp; Ctrl'!$C$5:$C$29,SMALL(IF(prevstage=3,IF(prevstatus=0,ROW(prevstatus)-ROW('Prev &amp; Ctrl'!$E$5)+1)),ROWS(N$29:N33))),"")</f>
        <v>Sufficient facilities for observation of rabies-suspected dogs established and comply with international animal welfare regulations</v>
      </c>
      <c r="O33" s="228" t="str">
        <f t="array" ref="O33">IF(ROWS(O$29:O33)&lt;=$M$31,INDEX('Prev &amp; Ctrl'!$C$5:$C$29,SMALL(IF(prevstage=3,IF(prevstatus=1,ROW(prevstatus)-ROW('Prev &amp; Ctrl'!$E$5)+1)),ROWS(O$29:O33))),"")</f>
        <v/>
      </c>
      <c r="P33" s="226"/>
      <c r="Q33" s="229" t="str">
        <f t="array" ref="Q33">IF(ROWS(Q$29:Q33)&lt;=$P$30,INDEX('Dog popn'!$C$5:C36,SMALL(IF(dogstage=3,IF(dogstatus=0,ROW(dogstatus)-ROW('Dog popn'!$E$5)+1)),ROWS(Q$29:Q33))),"")</f>
        <v/>
      </c>
      <c r="R33" s="224" t="str">
        <f t="array" ref="R33">IF(ROWS(R$29:R33)&lt;=$P$31,INDEX('Dog popn'!$C$5:$C$9,SMALL(IF(dogstage=3,IF(dogstatus=1,ROW(dogstatus)-ROW('Dog popn'!$E$5)+1)),ROWS(R$29:R33))),"")</f>
        <v/>
      </c>
      <c r="S33" s="226"/>
      <c r="T33" s="227" t="str">
        <f t="array" ref="T33">IF(ROWS(T$29:T33)&lt;=$S$30,INDEX('Cross-cutting issues'!$C$5:$C$16,SMALL(IF(crossstage=3,IF(crossstatus=0,ROW(crossstatus)-ROW('Cross-cutting issues'!$E$5)+1)),ROWS(T$29:T33))),"")</f>
        <v/>
      </c>
      <c r="U33" s="228" t="str">
        <f t="array" ref="U33">IF(ROWS(U$29:U33)&lt;=$S$31,INDEX('Cross-cutting issues'!$C$5:$C$16,SMALL(IF(crossstage=3,IF(crossstatus=1,ROW(crossstatus)-ROW('Cross-cutting issues'!$E$5)+1)),ROWS(U$29:U33))),"")</f>
        <v/>
      </c>
      <c r="Z33" s="106"/>
    </row>
    <row r="34" spans="1:26" s="17" customFormat="1" ht="51" x14ac:dyDescent="0.25">
      <c r="A34" s="52"/>
      <c r="B34" s="229" t="str">
        <f t="array" ref="B34">IF(ROWS(B$29:B34)&lt;=$A$30,INDEX(Legislation!$C$5:$C$19,SMALL(IF(STAGE=3,IF(STATUS=0,ROW(STATUS)-ROW(Legislation!$E$5)+1)),ROWS(B$29:B34))),"")</f>
        <v/>
      </c>
      <c r="C34" s="224" t="str">
        <f t="array" ref="C34">IF(ROWS(C$29:C34)&lt;=$A$31,INDEX(Legislation!$C$5:$C$19,SMALL(IF(STAGE=3,IF(STATUS=1,ROW(STATUS)-ROW(Legislation!$E$5)+1)),ROWS(C$29:C34))),"")</f>
        <v/>
      </c>
      <c r="D34" s="225"/>
      <c r="E34" s="229" t="str">
        <f t="array" ref="E34">IF(ROWS(E$29:E34)&lt;=$D$30,INDEX('Data coll &amp; ax'!$C$5:$C$22,SMALL(IF(datastage=3,IF(datastatus=0,ROW(datastatus)-ROW('Data coll &amp; ax'!$E$5)+1)),ROWS(E$29:E34))),"")</f>
        <v/>
      </c>
      <c r="F34" s="224" t="str">
        <f t="array" ref="F34">IF(ROWS(F$29:F34)&lt;=$D$31,INDEX('Data coll &amp; ax'!$C$5:$C$22,SMALL(IF(datastage=3,IF(datastatus=1,ROW(datastatus)-ROW('Data coll &amp; ax'!$E$5)+1)),ROWS(F$29:F34))),"")</f>
        <v/>
      </c>
      <c r="G34" s="226"/>
      <c r="H34" s="227" t="str">
        <f t="array" ref="H34">IF(ROWS(H$29:H34)&lt;=$G$30,INDEX('Lab dx'!$C$5:$C$15,SMALL(IF(labstage=3,IF(labstatus=0,ROW(labstatus)-ROW('Lab dx'!$E$5)+1)),ROWS(H$29:H34))),"")</f>
        <v/>
      </c>
      <c r="I34" s="228" t="str">
        <f t="array" ref="I34">IF(ROWS(I$29:I34)&lt;=$G$31,INDEX('Lab dx'!$C$5:$C$15,SMALL(IF(labstage=3,IF(labstatus=1,ROW(labstatus)-ROW('Lab dx'!$F$5)+1)),ROWS(I$29:I34))),"")</f>
        <v/>
      </c>
      <c r="J34" s="226"/>
      <c r="K34" s="229" t="str">
        <f t="array" ref="K34">IF(ROWS(K$29:K34)&lt;=$J$30,INDEX(IEC!$C$5:$C$21,SMALL(IF(iecstage=3,IF(iecstatus=0,ROW(iecstatus)-ROW(IEC!$E$5)+1)),ROWS(K$29:K34))),"")</f>
        <v/>
      </c>
      <c r="L34" s="224" t="str">
        <f t="array" ref="L34">IF(ROWS(L$29:L34)&lt;=$J$31,INDEX(IEC!$C$5:$C$21,SMALL(IF(iecstage=3,IF(iecstatus=1,ROW(iecstatus)-ROW(IEC!$E$5)+1)),ROWS(L$29:L34))),"")</f>
        <v/>
      </c>
      <c r="M34" s="230"/>
      <c r="N34" s="227" t="str">
        <f t="array" ref="N34">IF(ROWS(N$29:N34)&lt;=$M$30,INDEX('Prev &amp; Ctrl'!$C$5:$C$29,SMALL(IF(prevstage=3,IF(prevstatus=0,ROW(prevstatus)-ROW('Prev &amp; Ctrl'!$E$5)+1)),ROWS(N$29:N34))),"")</f>
        <v>Identification of potential rabies free zones where canine variant cases is absent for at least a 2 year period</v>
      </c>
      <c r="O34" s="228" t="str">
        <f t="array" ref="O34">IF(ROWS(O$29:O34)&lt;=$M$31,INDEX('Prev &amp; Ctrl'!$C$5:$C$29,SMALL(IF(prevstage=3,IF(prevstatus=1,ROW(prevstatus)-ROW('Prev &amp; Ctrl'!$E$5)+1)),ROWS(O$29:O34))),"")</f>
        <v/>
      </c>
      <c r="P34" s="226"/>
      <c r="Q34" s="229" t="str">
        <f t="array" ref="Q34">IF(ROWS(Q$29:Q34)&lt;=$P$30,INDEX('Dog popn'!$C$5:C37,SMALL(IF(dogstage=3,IF(dogstatus=0,ROW(dogstatus)-ROW('Dog popn'!$E$5)+1)),ROWS(Q$29:Q34))),"")</f>
        <v/>
      </c>
      <c r="R34" s="224" t="str">
        <f t="array" ref="R34">IF(ROWS(R$29:R34)&lt;=$P$31,INDEX('Dog popn'!$C$5:$C$9,SMALL(IF(dogstage=3,IF(dogstatus=1,ROW(dogstatus)-ROW('Dog popn'!$E$5)+1)),ROWS(R$29:R34))),"")</f>
        <v/>
      </c>
      <c r="S34" s="226"/>
      <c r="T34" s="227" t="str">
        <f t="array" ref="T34">IF(ROWS(T$29:T34)&lt;=$S$30,INDEX('Cross-cutting issues'!$C$5:$C$16,SMALL(IF(crossstage=3,IF(crossstatus=0,ROW(crossstatus)-ROW('Cross-cutting issues'!$E$5)+1)),ROWS(T$29:T34))),"")</f>
        <v/>
      </c>
      <c r="U34" s="228" t="str">
        <f t="array" ref="U34">IF(ROWS(U$29:U34)&lt;=$S$31,INDEX('Cross-cutting issues'!$C$5:$C$16,SMALL(IF(crossstage=3,IF(crossstatus=1,ROW(crossstatus)-ROW('Cross-cutting issues'!$E$5)+1)),ROWS(U$29:U34))),"")</f>
        <v/>
      </c>
      <c r="Z34" s="106"/>
    </row>
    <row r="35" spans="1:26" s="17" customFormat="1" x14ac:dyDescent="0.25">
      <c r="A35" s="52"/>
      <c r="B35" s="229" t="str">
        <f t="array" ref="B35">IF(ROWS(B$29:B35)&lt;=$A$30,INDEX(Legislation!$C$5:$C$19,SMALL(IF(STAGE=3,IF(STATUS=0,ROW(STATUS)-ROW(Legislation!$E$5)+1)),ROWS(B$29:B35))),"")</f>
        <v/>
      </c>
      <c r="C35" s="224" t="str">
        <f t="array" ref="C35">IF(ROWS(C$29:C35)&lt;=$A$31,INDEX(Legislation!$C$5:$C$19,SMALL(IF(STAGE=3,IF(STATUS=1,ROW(STATUS)-ROW(Legislation!$E$5)+1)),ROWS(C$29:C35))),"")</f>
        <v/>
      </c>
      <c r="D35" s="225"/>
      <c r="E35" s="229" t="str">
        <f t="array" ref="E35">IF(ROWS(E$29:E35)&lt;=$D$30,INDEX('Data coll &amp; ax'!$C$5:$C$22,SMALL(IF(datastage=3,IF(datastatus=0,ROW(datastatus)-ROW('Data coll &amp; ax'!$E$5)+1)),ROWS(E$29:E35))),"")</f>
        <v/>
      </c>
      <c r="F35" s="224" t="str">
        <f t="array" ref="F35">IF(ROWS(F$29:F35)&lt;=$D$31,INDEX('Data coll &amp; ax'!$C$5:$C$22,SMALL(IF(datastage=3,IF(datastatus=1,ROW(datastatus)-ROW('Data coll &amp; ax'!$E$5)+1)),ROWS(F$29:F35))),"")</f>
        <v/>
      </c>
      <c r="G35" s="226"/>
      <c r="H35" s="227" t="str">
        <f t="array" ref="H35">IF(ROWS(H$29:H35)&lt;=$G$30,INDEX('Lab dx'!$C$5:$C$15,SMALL(IF(labstage=3,IF(labstatus=0,ROW(labstatus)-ROW('Lab dx'!$E$5)+1)),ROWS(H$29:H35))),"")</f>
        <v/>
      </c>
      <c r="I35" s="228" t="str">
        <f t="array" ref="I35">IF(ROWS(I$29:I35)&lt;=$G$31,INDEX('Lab dx'!$C$5:$C$15,SMALL(IF(labstage=3,IF(labstatus=1,ROW(labstatus)-ROW('Lab dx'!$F$5)+1)),ROWS(I$29:I35))),"")</f>
        <v/>
      </c>
      <c r="J35" s="226"/>
      <c r="K35" s="229" t="str">
        <f t="array" ref="K35">IF(ROWS(K$29:K35)&lt;=$J$30,INDEX(IEC!$C$5:$C$21,SMALL(IF(iecstage=3,IF(iecstatus=0,ROW(iecstatus)-ROW(IEC!$E$5)+1)),ROWS(K$29:K35))),"")</f>
        <v/>
      </c>
      <c r="L35" s="224" t="str">
        <f t="array" ref="L35">IF(ROWS(L$29:L35)&lt;=$J$31,INDEX(IEC!$C$5:$C$21,SMALL(IF(iecstage=3,IF(iecstatus=1,ROW(iecstatus)-ROW(IEC!$E$5)+1)),ROWS(L$29:L35))),"")</f>
        <v/>
      </c>
      <c r="M35" s="230"/>
      <c r="N35" s="227" t="str">
        <f t="array" ref="N35">IF(ROWS(N$29:N35)&lt;=$M$30,INDEX('Prev &amp; Ctrl'!$C$5:$C$29,SMALL(IF(prevstage=3,IF(prevstatus=0,ROW(prevstatus)-ROW('Prev &amp; Ctrl'!$E$5)+1)),ROWS(N$29:N35))),"")</f>
        <v/>
      </c>
      <c r="O35" s="228" t="str">
        <f t="array" ref="O35">IF(ROWS(O$29:O35)&lt;=$M$31,INDEX('Prev &amp; Ctrl'!$C$5:$C$29,SMALL(IF(prevstage=3,IF(prevstatus=1,ROW(prevstatus)-ROW('Prev &amp; Ctrl'!$E$5)+1)),ROWS(O$29:O35))),"")</f>
        <v/>
      </c>
      <c r="P35" s="226"/>
      <c r="Q35" s="229" t="str">
        <f t="array" ref="Q35">IF(ROWS(Q$29:Q35)&lt;=$P$30,INDEX('Dog popn'!$C$5:C38,SMALL(IF(dogstage=3,IF(dogstatus=0,ROW(dogstatus)-ROW('Dog popn'!$E$5)+1)),ROWS(Q$29:Q35))),"")</f>
        <v/>
      </c>
      <c r="R35" s="224" t="str">
        <f t="array" ref="R35">IF(ROWS(R$29:R35)&lt;=$P$31,INDEX('Dog popn'!$C$5:$C$9,SMALL(IF(dogstage=3,IF(dogstatus=1,ROW(dogstatus)-ROW('Dog popn'!$E$5)+1)),ROWS(R$29:R35))),"")</f>
        <v/>
      </c>
      <c r="S35" s="226"/>
      <c r="T35" s="227" t="str">
        <f t="array" ref="T35">IF(ROWS(T$29:T35)&lt;=$S$30,INDEX('Cross-cutting issues'!$C$5:$C$16,SMALL(IF(crossstage=3,IF(crossstatus=0,ROW(crossstatus)-ROW('Cross-cutting issues'!$E$5)+1)),ROWS(T$29:T35))),"")</f>
        <v/>
      </c>
      <c r="U35" s="228" t="str">
        <f t="array" ref="U35">IF(ROWS(U$29:U35)&lt;=$S$31,INDEX('Cross-cutting issues'!$C$5:$C$16,SMALL(IF(crossstage=3,IF(crossstatus=1,ROW(crossstatus)-ROW('Cross-cutting issues'!$E$5)+1)),ROWS(U$29:U35))),"")</f>
        <v/>
      </c>
      <c r="Z35" s="106"/>
    </row>
    <row r="36" spans="1:26" s="17" customFormat="1" x14ac:dyDescent="0.25">
      <c r="A36" s="52"/>
      <c r="B36" s="229" t="str">
        <f t="array" ref="B36">IF(ROWS(B$29:B36)&lt;=$A$30,INDEX(Legislation!$C$5:$C$19,SMALL(IF(STAGE=3,IF(STATUS=0,ROW(STATUS)-ROW(Legislation!$E$5)+1)),ROWS(B$29:B36))),"")</f>
        <v/>
      </c>
      <c r="C36" s="224" t="str">
        <f t="array" ref="C36">IF(ROWS(C$29:C36)&lt;=$A$31,INDEX(Legislation!$C$5:$C$19,SMALL(IF(STAGE=3,IF(STATUS=1,ROW(STATUS)-ROW(Legislation!$E$5)+1)),ROWS(C$29:C36))),"")</f>
        <v/>
      </c>
      <c r="D36" s="225"/>
      <c r="E36" s="229" t="str">
        <f t="array" ref="E36">IF(ROWS(E$29:E36)&lt;=$D$30,INDEX('Data coll &amp; ax'!$C$5:$C$22,SMALL(IF(datastage=3,IF(datastatus=0,ROW(datastatus)-ROW('Data coll &amp; ax'!$E$5)+1)),ROWS(E$29:E36))),"")</f>
        <v/>
      </c>
      <c r="F36" s="224" t="str">
        <f t="array" ref="F36">IF(ROWS(F$29:F36)&lt;=$D$31,INDEX('Data coll &amp; ax'!$C$5:$C$22,SMALL(IF(datastage=3,IF(datastatus=1,ROW(datastatus)-ROW('Data coll &amp; ax'!$E$5)+1)),ROWS(F$29:F36))),"")</f>
        <v/>
      </c>
      <c r="G36" s="226"/>
      <c r="H36" s="227" t="str">
        <f t="array" ref="H36">IF(ROWS(H$29:H36)&lt;=$G$30,INDEX('Lab dx'!$C$5:$C$15,SMALL(IF(labstage=3,IF(labstatus=0,ROW(labstatus)-ROW('Lab dx'!$E$5)+1)),ROWS(H$29:H36))),"")</f>
        <v/>
      </c>
      <c r="I36" s="228" t="str">
        <f t="array" ref="I36">IF(ROWS(I$29:I36)&lt;=$G$31,INDEX('Lab dx'!$C$5:$C$15,SMALL(IF(labstage=3,IF(labstatus=1,ROW(labstatus)-ROW('Lab dx'!$F$5)+1)),ROWS(I$29:I36))),"")</f>
        <v/>
      </c>
      <c r="J36" s="226"/>
      <c r="K36" s="229" t="str">
        <f t="array" ref="K36">IF(ROWS(K$29:K36)&lt;=$J$30,INDEX(IEC!$C$5:$C$21,SMALL(IF(iecstage=3,IF(iecstatus=0,ROW(iecstatus)-ROW(IEC!$E$5)+1)),ROWS(K$29:K36))),"")</f>
        <v/>
      </c>
      <c r="L36" s="224" t="str">
        <f t="array" ref="L36">IF(ROWS(L$29:L36)&lt;=$J$31,INDEX(IEC!$C$5:$C$21,SMALL(IF(iecstage=3,IF(iecstatus=1,ROW(iecstatus)-ROW(IEC!$E$5)+1)),ROWS(L$29:L36))),"")</f>
        <v/>
      </c>
      <c r="M36" s="230"/>
      <c r="N36" s="227" t="str">
        <f t="array" ref="N36">IF(ROWS(N$29:N36)&lt;=$M$30,INDEX('Prev &amp; Ctrl'!$C$5:$C$29,SMALL(IF(prevstage=3,IF(prevstatus=0,ROW(prevstatus)-ROW('Prev &amp; Ctrl'!$E$5)+1)),ROWS(N$29:N36))),"")</f>
        <v/>
      </c>
      <c r="O36" s="228" t="str">
        <f t="array" ref="O36">IF(ROWS(O$29:O36)&lt;=$M$31,INDEX('Prev &amp; Ctrl'!$C$5:$C$29,SMALL(IF(prevstage=3,IF(prevstatus=1,ROW(prevstatus)-ROW('Prev &amp; Ctrl'!$E$5)+1)),ROWS(O$29:O36))),"")</f>
        <v/>
      </c>
      <c r="P36" s="226"/>
      <c r="Q36" s="229" t="str">
        <f t="array" ref="Q36">IF(ROWS(Q$29:Q36)&lt;=$P$30,INDEX('Dog popn'!$C$5:C39,SMALL(IF(dogstage=3,IF(dogstatus=0,ROW(dogstatus)-ROW('Dog popn'!$E$5)+1)),ROWS(Q$29:Q36))),"")</f>
        <v/>
      </c>
      <c r="R36" s="224" t="str">
        <f t="array" ref="R36">IF(ROWS(R$29:R36)&lt;=$P$31,INDEX('Dog popn'!$C$5:$C$9,SMALL(IF(dogstage=3,IF(dogstatus=1,ROW(dogstatus)-ROW('Dog popn'!$E$5)+1)),ROWS(R$29:R36))),"")</f>
        <v/>
      </c>
      <c r="S36" s="226"/>
      <c r="T36" s="227" t="str">
        <f t="array" ref="T36">IF(ROWS(T$29:T36)&lt;=$S$30,INDEX('Cross-cutting issues'!$C$5:$C$16,SMALL(IF(crossstage=3,IF(crossstatus=0,ROW(crossstatus)-ROW('Cross-cutting issues'!$E$5)+1)),ROWS(T$29:T36))),"")</f>
        <v/>
      </c>
      <c r="U36" s="228" t="str">
        <f t="array" ref="U36">IF(ROWS(U$29:U36)&lt;=$S$31,INDEX('Cross-cutting issues'!$C$5:$C$16,SMALL(IF(crossstage=3,IF(crossstatus=1,ROW(crossstatus)-ROW('Cross-cutting issues'!$E$5)+1)),ROWS(U$29:U36))),"")</f>
        <v/>
      </c>
      <c r="Z36" s="106"/>
    </row>
    <row r="37" spans="1:26" s="17" customFormat="1" x14ac:dyDescent="0.25">
      <c r="A37" s="53"/>
      <c r="B37" s="231" t="str">
        <f t="array" ref="B37">IF(ROWS(B$29:B37)&lt;=$A$30,INDEX(Legislation!$C$5:$C$19,SMALL(IF(STAGE=3,IF(STATUS=0,ROW(STATUS)-ROW(Legislation!$E$5)+1)),ROWS(B$29:B37))),"")</f>
        <v/>
      </c>
      <c r="C37" s="232" t="str">
        <f t="array" ref="C37">IF(ROWS(C$29:C37)&lt;=$A$31,INDEX(Legislation!$C$5:$C$19,SMALL(IF(STAGE=3,IF(STATUS=1,ROW(STATUS)-ROW(Legislation!$E$5)+1)),ROWS(C$29:C37))),"")</f>
        <v/>
      </c>
      <c r="D37" s="233"/>
      <c r="E37" s="231" t="str">
        <f t="array" ref="E37">IF(ROWS(E$29:E37)&lt;=$D$30,INDEX('Data coll &amp; ax'!$C$5:$C$22,SMALL(IF(datastage=3,IF(datastatus=0,ROW(datastatus)-ROW('Data coll &amp; ax'!$E$5)+1)),ROWS(E$29:E37))),"")</f>
        <v/>
      </c>
      <c r="F37" s="232" t="str">
        <f t="array" ref="F37">IF(ROWS(F$29:F37)&lt;=$D$31,INDEX('Data coll &amp; ax'!$C$5:$C$22,SMALL(IF(datastage=3,IF(datastatus=1,ROW(datastatus)-ROW('Data coll &amp; ax'!$E$5)+1)),ROWS(F$29:F37))),"")</f>
        <v/>
      </c>
      <c r="G37" s="234"/>
      <c r="H37" s="235" t="str">
        <f t="array" ref="H37">IF(ROWS(H$29:H37)&lt;=$G$30,INDEX('Lab dx'!$C$5:$C$15,SMALL(IF(labstage=3,IF(labstatus=0,ROW(labstatus)-ROW('Lab dx'!$E$5)+1)),ROWS(H$29:H37))),"")</f>
        <v/>
      </c>
      <c r="I37" s="236" t="str">
        <f t="array" ref="I37">IF(ROWS(I$29:I37)&lt;=$G$31,INDEX('Lab dx'!$C$5:$C$15,SMALL(IF(labstage=3,IF(labstatus=1,ROW(labstatus)-ROW('Lab dx'!$F$5)+1)),ROWS(I$29:I37))),"")</f>
        <v/>
      </c>
      <c r="J37" s="234"/>
      <c r="K37" s="231" t="str">
        <f t="array" ref="K37">IF(ROWS(K$29:K37)&lt;=$J$30,INDEX(IEC!$C$5:$C$21,SMALL(IF(iecstage=3,IF(iecstatus=0,ROW(iecstatus)-ROW(IEC!$E$5)+1)),ROWS(K$29:K37))),"")</f>
        <v/>
      </c>
      <c r="L37" s="232" t="str">
        <f t="array" ref="L37">IF(ROWS(L$29:L37)&lt;=$J$31,INDEX(IEC!$C$5:$C$21,SMALL(IF(iecstage=3,IF(iecstatus=1,ROW(iecstatus)-ROW(IEC!$E$5)+1)),ROWS(L$29:L37))),"")</f>
        <v/>
      </c>
      <c r="M37" s="237"/>
      <c r="N37" s="235" t="str">
        <f t="array" ref="N37">IF(ROWS(N$29:N37)&lt;=$M$30,INDEX('Prev &amp; Ctrl'!$C$5:$C$29,SMALL(IF(prevstage=3,IF(prevstatus=0,ROW(prevstatus)-ROW('Prev &amp; Ctrl'!$E$5)+1)),ROWS(N$29:N37))),"")</f>
        <v/>
      </c>
      <c r="O37" s="236" t="str">
        <f t="array" ref="O37">IF(ROWS(O$29:O37)&lt;=$M$31,INDEX('Prev &amp; Ctrl'!$C$5:$C$29,SMALL(IF(prevstage=3,IF(prevstatus=1,ROW(prevstatus)-ROW('Prev &amp; Ctrl'!$E$5)+1)),ROWS(O$29:O37))),"")</f>
        <v/>
      </c>
      <c r="P37" s="234"/>
      <c r="Q37" s="231" t="str">
        <f t="array" ref="Q37">IF(ROWS(Q$29:Q37)&lt;=$P$30,INDEX('Dog popn'!$C$5:C40,SMALL(IF(dogstage=3,IF(dogstatus=0,ROW(dogstatus)-ROW('Dog popn'!$E$5)+1)),ROWS(Q$29:Q37))),"")</f>
        <v/>
      </c>
      <c r="R37" s="232" t="str">
        <f t="array" ref="R37">IF(ROWS(R$29:R37)&lt;=$P$31,INDEX('Dog popn'!$C$5:$C$9,SMALL(IF(dogstage=3,IF(dogstatus=1,ROW(dogstatus)-ROW('Dog popn'!$E$5)+1)),ROWS(R$29:R37))),"")</f>
        <v/>
      </c>
      <c r="S37" s="234"/>
      <c r="T37" s="235" t="str">
        <f t="array" ref="T37">IF(ROWS(T$29:T37)&lt;=$S$30,INDEX('Cross-cutting issues'!$C$5:$C$16,SMALL(IF(crossstage=3,IF(crossstatus=0,ROW(crossstatus)-ROW('Cross-cutting issues'!$E$5)+1)),ROWS(T$29:T37))),"")</f>
        <v/>
      </c>
      <c r="U37" s="236" t="str">
        <f t="array" ref="U37">IF(ROWS(U$29:U37)&lt;=$S$31,INDEX('Cross-cutting issues'!$C$5:$C$16,SMALL(IF(crossstage=3,IF(crossstatus=1,ROW(crossstatus)-ROW('Cross-cutting issues'!$E$5)+1)),ROWS(U$29:U37))),"")</f>
        <v/>
      </c>
      <c r="Z37" s="106"/>
    </row>
    <row r="38" spans="1:26" s="17" customFormat="1" ht="63.75" x14ac:dyDescent="0.25">
      <c r="A38" s="58">
        <v>4</v>
      </c>
      <c r="B38" s="216" t="str">
        <f t="array" ref="B38">IF(ROWS(B$38:B38)&lt;=$A$39,INDEX(Legislation!$C$5:$C$19,SMALL(IF(STAGE=4,IF(STATUS=0,ROW(STATUS)-ROW(Legislation!$E$5)+1)),ROWS(B$38:B38))),"")</f>
        <v>Declaration of national dog-transmitted rabies freedom publicized</v>
      </c>
      <c r="C38" s="217" t="str">
        <f t="array" ref="C38">IF(ROWS(C$38:C38)&lt;=$A$40,INDEX(Legislation!$C$5:$C$19,SMALL(IF(STAGE=4,IF(STATUS=1,ROW(STATUS)-ROW(Legislation!$E$5)+1)),ROWS(C$38:C38))),"")</f>
        <v/>
      </c>
      <c r="D38" s="218"/>
      <c r="E38" s="216" t="str">
        <f t="array" ref="E38">IF(ROWS(E$38:E38)&lt;=$D$39,INDEX('Data coll &amp; ax'!$C$5:$C$22,SMALL(IF(datastage=4,IF(datastatus=0,ROW(datastatus)-ROW('Data coll &amp; ax'!$E$5)+1)),ROWS(E$38:E38))),"")</f>
        <v>Maintenance of existing surveillance activities for all suspected cases in humans in the country</v>
      </c>
      <c r="F38" s="217" t="str">
        <f t="array" ref="F38">IF(ROWS(F$38:F38)&lt;=$D$40,INDEX('Data coll &amp; ax'!$C$5:$C$22,SMALL(IF(datastage=4,IF(datastatus=1,ROW(datastatus)-ROW('Data coll &amp; ax'!$E$5)+1)),ROWS(F$38:F38))),"")</f>
        <v/>
      </c>
      <c r="G38" s="219"/>
      <c r="H38" s="220" t="str">
        <f t="array" ref="H38">IF(ROWS(H$38:H38)&lt;=$G$39,INDEX('Lab dx'!$C$5:$C$15,SMALL(IF(labstage=4,IF(labstatus=0,ROW(labstatus)-ROW('Lab dx'!$E$5)+1)),ROWS(H$38:H38))),"")</f>
        <v>Epidemiological data from routine surveillance of all animals (working animals, livestock and wildlife) used to refine the national rabies strategy</v>
      </c>
      <c r="I38" s="221" t="str">
        <f t="array" ref="I38">IF(ROWS(I$38:I38)&lt;=$G$40,INDEX('Lab dx'!$C$5:$C$15,SMALL(IF(labstage=4,IF(labstatus=1,ROW(labstatus)-ROW('Lab dx'!$F$5)+1)),ROWS(I$38:I38))),"")</f>
        <v>Maintenance of existing surveillance activities, including ongoing laboratory investigation, for all suspected cases in dogs in the country</v>
      </c>
      <c r="J38" s="219"/>
      <c r="K38" s="216" t="str">
        <f t="array" ref="K38">IF(ROWS(K$38:K38)&lt;=$J$39,INDEX(IEC!$C$5:$C$21,SMALL(IF(iecstage=4,IF(iecstatus=0,ROW(iecstatus)-ROW(IEC!$E$5)+1)),ROWS(K$38:K38))),"")</f>
        <v>Declaration of national dog-transmitted rabies freedom publicized</v>
      </c>
      <c r="L38" s="217" t="str">
        <f t="array" ref="L38">IF(ROWS(L$38:L38)&lt;=$J$40,INDEX(IEC!$C$5:$C$21,SMALL(IF(iecstage=4,IF(iecstatus=1,ROW(iecstatus)-ROW(IEC!$E$5)+1)),ROWS(L$38:L38))),"")</f>
        <v/>
      </c>
      <c r="M38" s="222"/>
      <c r="N38" s="22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otherwise justified (e.g. risk of introduction)</v>
      </c>
      <c r="O38" s="221" t="str">
        <f t="array" ref="O38">IF(ROWS(O$38:O38)&lt;=$M$40,INDEX('Prev &amp; Ctrl'!$C$5:$C$29,SMALL(IF(prevstage=4,IF(prevstatus=1,ROW(prevstatus)-ROW('Prev &amp; Ctrl'!$E$5)+1)),ROWS(O$38:O38))),"")</f>
        <v/>
      </c>
      <c r="P38" s="219"/>
      <c r="Q38" s="216" t="str">
        <f t="array" ref="Q38">IF(ROWS(Q$29:Q38)&lt;=$P$39,INDEX('Dog popn'!$C$5:C41,SMALL(IF(dogstage=4,IF(dogstatus=0,ROW(dogstatus)-ROW('Dog popn'!$E$5)+1)),ROWS(Q$38:Q38))),"")</f>
        <v/>
      </c>
      <c r="R38" s="217" t="str">
        <f t="array" ref="R38">IF(ROWS(R$38:R38)&lt;=$P$40,INDEX('Dog popn'!$C$5:$C$9,SMALL(IF(dogstage=4,IF(dogstatus=1,ROW(dogstatus)-ROW('Dog popn'!$E$5)+1)),ROWS(R$38:R38))),"")</f>
        <v/>
      </c>
      <c r="S38" s="219"/>
      <c r="T38" s="220" t="str">
        <f t="array" ref="T38">IF(ROWS(T$38:T38)&lt;=$S$39,INDEX('Cross-cutting issues'!$C$5:$C$16,SMALL(IF(crossstage=4,IF(crossstatus=0,ROW(crossstatus)-ROW('Cross-cutting issues'!$E$5)+1)),ROWS(T$38:T38))),"")</f>
        <v>Veterinary border inspection and quarantine measures are fully implemented in accordance with national regulations</v>
      </c>
      <c r="U38" s="221" t="str">
        <f t="array" ref="U38">IF(ROWS(U$38:U38)&lt;=$S$40,INDEX('Cross-cutting issues'!$C$5:$C$16,SMALL(IF(crossstage=4,IF(crossstatus=1,ROW(crossstatus)-ROW('Cross-cutting issues'!$E$5)+1)),ROWS(U$38:U38))),"")</f>
        <v/>
      </c>
      <c r="Z38" s="106"/>
    </row>
    <row r="39" spans="1:26" s="17" customFormat="1" ht="63.75" x14ac:dyDescent="0.25">
      <c r="A39" s="51">
        <f>SUMPRODUCT((STAGE=4)*(STATUS=0))</f>
        <v>1</v>
      </c>
      <c r="B39" s="229" t="str">
        <f t="array" ref="B39">IF(ROWS(B$38:B39)&lt;=$A$39,INDEX(Legislation!$C$5:$C$19,SMALL(IF(STAGE=4,IF(STATUS=0,ROW(STATUS)-ROW(Legislation!$E$5)+1)),ROWS(B$38:B39))),"")</f>
        <v/>
      </c>
      <c r="C39" s="224" t="str">
        <f t="array" ref="C39">IF(ROWS(C$38:C39)&lt;=$A$40,INDEX(Legislation!$C$5:$C$19,SMALL(IF(STAGE=4,IF(STATUS=1,ROW(STATUS)-ROW(Legislation!$E$5)+1)),ROWS(C$38:C39))),"")</f>
        <v/>
      </c>
      <c r="D39" s="225">
        <f>SUMPRODUCT((datastage=4)*(datastatus=0))</f>
        <v>2</v>
      </c>
      <c r="E39" s="229" t="str">
        <f t="array" ref="E39">IF(ROWS(E$38:E39)&lt;=$D$39,INDEX('Data coll &amp; ax'!$C$5:$C$22,SMALL(IF(datastage=4,IF(datastatus=0,ROW(datastatus)-ROW('Data coll &amp; ax'!$E$5)+1)),ROWS(E$38:E39))),"")</f>
        <v>Epidemiological data from routine surveillance of all animals (working animals, livestock and wildlife) used to refine the national rabies strategy</v>
      </c>
      <c r="F39" s="224" t="str">
        <f t="array" ref="F39">IF(ROWS(F$38:F39)&lt;=$D$40,INDEX('Data coll &amp; ax'!$C$5:$C$22,SMALL(IF(datastage=4,IF(datastatus=1,ROW(datastatus)-ROW('Data coll &amp; ax'!$E$5)+1)),ROWS(F$38:F39))),"")</f>
        <v/>
      </c>
      <c r="G39" s="226">
        <f>SUMPRODUCT((labstage=4)*(labstatus=0))</f>
        <v>1</v>
      </c>
      <c r="H39" s="227" t="str">
        <f t="array" ref="H39">IF(ROWS(H$38:H39)&lt;=$G$39,INDEX('Lab dx'!$C$5:$C$15,SMALL(IF(labstage=4,IF(labstatus=0,ROW(labstatus)-ROW('Lab dx'!$E$5)+1)),ROWS(H$38:H39))),"")</f>
        <v/>
      </c>
      <c r="I39" s="228" t="str">
        <f t="array" ref="I39">IF(ROWS(I$38:I39)&lt;=$G$40,INDEX('Lab dx'!$C$5:$C$15,SMALL(IF(labstage=4,IF(labstatus=1,ROW(labstatus)-ROW('Lab dx'!$F$5)+1)),ROWS(I$38:I39))),"")</f>
        <v/>
      </c>
      <c r="J39" s="226">
        <f>SUMPRODUCT((iecstage=4)*(iecstatus=0))</f>
        <v>2</v>
      </c>
      <c r="K39" s="229" t="str">
        <f t="array" ref="K39">IF(ROWS(K$38:K39)&lt;=$J$39,INDEX(IEC!$C$5:$C$21,SMALL(IF(iecstage=4,IF(iecstatus=0,ROW(iecstatus)-ROW(IEC!$E$5)+1)),ROWS(K$38:K39))),"")</f>
        <v>Awareness programmes focusing on maintenance of freedom from dog and dog transmitted human rabies</v>
      </c>
      <c r="L39" s="224" t="str">
        <f t="array" ref="L39">IF(ROWS(L$38:L39)&lt;=$J$40,INDEX(IEC!$C$5:$C$21,SMALL(IF(iecstage=4,IF(iecstatus=1,ROW(iecstatus)-ROW(IEC!$E$5)+1)),ROWS(L$38:L39))),"")</f>
        <v/>
      </c>
      <c r="M39" s="230">
        <f>SUMPRODUCT((prevstage=4)*(prevstatus=0))</f>
        <v>4</v>
      </c>
      <c r="N39" s="227" t="str">
        <f t="array" ref="N39">IF(ROWS(N$38:N39)&lt;=$M$39,INDEX('Prev &amp; Ctrl'!$C$5:$C$29,SMALL(IF(prevstage=4,IF(prevstatus=0,ROW(prevstatus)-ROW('Prev &amp; Ctrl'!$E$5)+1)),ROWS(N$38:N39))),"")</f>
        <v>Freedom from dog-transmitted rabies in the entire country verified by the absence of canine variant cases for at least a 2 year period</v>
      </c>
      <c r="O39" s="228" t="str">
        <f t="array" ref="O39">IF(ROWS(O$38:O39)&lt;=$M$40,INDEX('Prev &amp; Ctrl'!$C$5:$C$29,SMALL(IF(prevstage=4,IF(prevstatus=1,ROW(prevstatus)-ROW('Prev &amp; Ctrl'!$E$5)+1)),ROWS(O$38:O39))),"")</f>
        <v/>
      </c>
      <c r="P39" s="226">
        <f>SUMPRODUCT((dogstage=4)*(dogstatus=0))</f>
        <v>0</v>
      </c>
      <c r="Q39" s="229" t="str">
        <f t="array" ref="Q39">IF(ROWS(Q$29:Q39)&lt;=$P$39,INDEX('Dog popn'!$C$5:C42,SMALL(IF(dogstage=4,IF(dogstatus=0,ROW(dogstatus)-ROW('Dog popn'!$E$5)+1)),ROWS(Q$38:Q39))),"")</f>
        <v/>
      </c>
      <c r="R39" s="224" t="str">
        <f t="array" ref="R39">IF(ROWS(R$38:R39)&lt;=$P$40,INDEX('Dog popn'!$C$5:$C$9,SMALL(IF(dogstage=4,IF(dogstatus=1,ROW(dogstatus)-ROW('Dog popn'!$E$5)+1)),ROWS(R$38:R39))),"")</f>
        <v/>
      </c>
      <c r="S39" s="226">
        <f>SUMPRODUCT((crossstage=4)*(crossstatus=0))</f>
        <v>1</v>
      </c>
      <c r="T39" s="227" t="str">
        <f t="array" ref="T39">IF(ROWS(T$38:T39)&lt;=$S$39,INDEX('Cross-cutting issues'!$C$5:$C$16,SMALL(IF(crossstage=4,IF(crossstatus=0,ROW(crossstatus)-ROW('Cross-cutting issues'!$E$5)+1)),ROWS(T$38:T39))),"")</f>
        <v/>
      </c>
      <c r="U39" s="228" t="str">
        <f t="array" ref="U39">IF(ROWS(U$38:U39)&lt;=$S$40,INDEX('Cross-cutting issues'!$C$5:$C$16,SMALL(IF(crossstage=4,IF(crossstatus=1,ROW(crossstatus)-ROW('Cross-cutting issues'!$E$5)+1)),ROWS(U$38:U39))),"")</f>
        <v/>
      </c>
      <c r="Z39" s="106"/>
    </row>
    <row r="40" spans="1:26" s="17" customFormat="1" ht="51" x14ac:dyDescent="0.25">
      <c r="A40" s="51">
        <f>SUMPRODUCT((STAGE=4)*(STATUS=1))</f>
        <v>0</v>
      </c>
      <c r="B40" s="229" t="str">
        <f t="array" ref="B40">IF(ROWS(B$38:B40)&lt;=$A$39,INDEX(Legislation!$C$5:$C$19,SMALL(IF(STAGE=4,IF(STATUS=0,ROW(STATUS)-ROW(Legislation!$E$5)+1)),ROWS(B$38:B40))),"")</f>
        <v/>
      </c>
      <c r="C40" s="224" t="str">
        <f t="array" ref="C40">IF(ROWS(C$38:C40)&lt;=$A$40,INDEX(Legislation!$C$5:$C$19,SMALL(IF(STAGE=4,IF(STATUS=1,ROW(STATUS)-ROW(Legislation!$E$5)+1)),ROWS(C$38:C40))),"")</f>
        <v/>
      </c>
      <c r="D40" s="225">
        <f>SUMPRODUCT((datastage=4)*(datastatus=1))</f>
        <v>0</v>
      </c>
      <c r="E40" s="229" t="str">
        <f t="array" ref="E40">IF(ROWS(E$38:E40)&lt;=$D$39,INDEX('Data coll &amp; ax'!$C$5:$C$22,SMALL(IF(datastage=4,IF(datastatus=0,ROW(datastatus)-ROW('Data coll &amp; ax'!$E$5)+1)),ROWS(E$38:E40))),"")</f>
        <v/>
      </c>
      <c r="F40" s="224" t="str">
        <f t="array" ref="F40">IF(ROWS(F$38:F40)&lt;=$D$40,INDEX('Data coll &amp; ax'!$C$5:$C$22,SMALL(IF(datastage=4,IF(datastatus=1,ROW(datastatus)-ROW('Data coll &amp; ax'!$E$5)+1)),ROWS(F$38:F40))),"")</f>
        <v/>
      </c>
      <c r="G40" s="226">
        <f>SUMPRODUCT((labstage=4)*(labstatus=1))</f>
        <v>1</v>
      </c>
      <c r="H40" s="227" t="str">
        <f t="array" ref="H40">IF(ROWS(H$38:H40)&lt;=$G$39,INDEX('Lab dx'!$C$5:$C$15,SMALL(IF(labstage=4,IF(labstatus=0,ROW(labstatus)-ROW('Lab dx'!$E$5)+1)),ROWS(H$38:H40))),"")</f>
        <v/>
      </c>
      <c r="I40" s="228" t="str">
        <f t="array" ref="I40">IF(ROWS(I$38:I40)&lt;=$G$40,INDEX('Lab dx'!$C$5:$C$15,SMALL(IF(labstage=4,IF(labstatus=1,ROW(labstatus)-ROW('Lab dx'!$F$5)+1)),ROWS(I$38:I40))),"")</f>
        <v/>
      </c>
      <c r="J40" s="226">
        <f>SUMPRODUCT((iecstage=4)*(iecstatus=1))</f>
        <v>0</v>
      </c>
      <c r="K40" s="229" t="str">
        <f t="array" ref="K40">IF(ROWS(K$38:K40)&lt;=$J$39,INDEX(IEC!$C$5:$C$21,SMALL(IF(iecstage=4,IF(iecstatus=0,ROW(iecstatus)-ROW(IEC!$E$5)+1)),ROWS(K$38:K40))),"")</f>
        <v/>
      </c>
      <c r="L40" s="224" t="str">
        <f t="array" ref="L40">IF(ROWS(L$38:L40)&lt;=$J$40,INDEX(IEC!$C$5:$C$21,SMALL(IF(iecstage=4,IF(iecstatus=1,ROW(iecstatus)-ROW(IEC!$E$5)+1)),ROWS(L$38:L40))),"")</f>
        <v/>
      </c>
      <c r="M40" s="230">
        <f>SUMPRODUCT((prevstage=4)*(prevstatus=1))</f>
        <v>0</v>
      </c>
      <c r="N40" s="227" t="str">
        <f t="array" ref="N40">IF(ROWS(N$38:N40)&lt;=$M$39,INDEX('Prev &amp; Ctrl'!$C$5:$C$29,SMALL(IF(prevstage=4,IF(prevstatus=0,ROW(prevstatus)-ROW('Prev &amp; Ctrl'!$E$5)+1)),ROWS(N$38:N40))),"")</f>
        <v>Measures to prevent re-introduction applied in designated rabies free zones including dialogue with neighbouring countries.</v>
      </c>
      <c r="O40" s="228" t="str">
        <f t="array" ref="O40">IF(ROWS(O$38:O40)&lt;=$M$40,INDEX('Prev &amp; Ctrl'!$C$5:$C$29,SMALL(IF(prevstage=4,IF(prevstatus=1,ROW(prevstatus)-ROW('Prev &amp; Ctrl'!$E$5)+1)),ROWS(O$38:O40))),"")</f>
        <v/>
      </c>
      <c r="P40" s="226">
        <f>SUMPRODUCT((dogstage=4)*(dogstatus=1))</f>
        <v>0</v>
      </c>
      <c r="Q40" s="229" t="str">
        <f t="array" ref="Q40">IF(ROWS(Q$29:Q40)&lt;=$P$39,INDEX('Dog popn'!$C$5:C43,SMALL(IF(dogstage=4,IF(dogstatus=0,ROW(dogstatus)-ROW('Dog popn'!$E$5)+1)),ROWS(Q$38:Q40))),"")</f>
        <v/>
      </c>
      <c r="R40" s="224" t="str">
        <f t="array" ref="R40">IF(ROWS(R$38:R40)&lt;=$P$40,INDEX('Dog popn'!$C$5:$C$9,SMALL(IF(dogstage=4,IF(dogstatus=1,ROW(dogstatus)-ROW('Dog popn'!$E$5)+1)),ROWS(R$38:R40))),"")</f>
        <v/>
      </c>
      <c r="S40" s="226">
        <f>SUMPRODUCT((crossstage=4)*(crossstatus=1))</f>
        <v>0</v>
      </c>
      <c r="T40" s="227" t="str">
        <f t="array" ref="T40">IF(ROWS(T$38:T40)&lt;=$S$39,INDEX('Cross-cutting issues'!$C$5:$C$16,SMALL(IF(crossstage=4,IF(crossstatus=0,ROW(crossstatus)-ROW('Cross-cutting issues'!$E$5)+1)),ROWS(T$38:T40))),"")</f>
        <v/>
      </c>
      <c r="U40" s="228" t="str">
        <f t="array" ref="U40">IF(ROWS(U$38:U40)&lt;=$S$40,INDEX('Cross-cutting issues'!$C$5:$C$16,SMALL(IF(crossstage=4,IF(crossstatus=1,ROW(crossstatus)-ROW('Cross-cutting issues'!$E$5)+1)),ROWS(U$38:U40))),"")</f>
        <v/>
      </c>
      <c r="Z40" s="106"/>
    </row>
    <row r="41" spans="1:26" s="17" customFormat="1" ht="63.75" x14ac:dyDescent="0.25">
      <c r="A41" s="52"/>
      <c r="B41" s="229" t="str">
        <f t="array" ref="B41">IF(ROWS(B$38:B41)&lt;=$A$39,INDEX(Legislation!$C$5:$C$19,SMALL(IF(STAGE=4,IF(STATUS=0,ROW(STATUS)-ROW(Legislation!$E$5)+1)),ROWS(B$38:B41))),"")</f>
        <v/>
      </c>
      <c r="C41" s="224" t="str">
        <f t="array" ref="C41">IF(ROWS(C$38:C41)&lt;=$A$40,INDEX(Legislation!$C$5:$C$19,SMALL(IF(STAGE=4,IF(STATUS=1,ROW(STATUS)-ROW(Legislation!$E$5)+1)),ROWS(C$38:C41))),"")</f>
        <v/>
      </c>
      <c r="D41" s="225"/>
      <c r="E41" s="229" t="str">
        <f t="array" ref="E41">IF(ROWS(E$38:E41)&lt;=$D$39,INDEX('Data coll &amp; ax'!$C$5:$C$22,SMALL(IF(datastage=4,IF(datastatus=0,ROW(datastatus)-ROW('Data coll &amp; ax'!$E$5)+1)),ROWS(E$38:E41))),"")</f>
        <v/>
      </c>
      <c r="F41" s="224" t="str">
        <f t="array" ref="F41">IF(ROWS(F$38:F41)&lt;=$D$40,INDEX('Data coll &amp; ax'!$C$5:$C$22,SMALL(IF(datastage=4,IF(datastatus=1,ROW(datastatus)-ROW('Data coll &amp; ax'!$E$5)+1)),ROWS(F$38:F41))),"")</f>
        <v/>
      </c>
      <c r="G41" s="226"/>
      <c r="H41" s="227" t="str">
        <f t="array" ref="H41">IF(ROWS(H$38:H41)&lt;=$G$39,INDEX('Lab dx'!$C$5:$C$15,SMALL(IF(labstage=4,IF(labstatus=0,ROW(labstatus)-ROW('Lab dx'!$E$5)+1)),ROWS(H$38:H41))),"")</f>
        <v/>
      </c>
      <c r="I41" s="228" t="str">
        <f t="array" ref="I41">IF(ROWS(I$38:I41)&lt;=$G$40,INDEX('Lab dx'!$C$5:$C$15,SMALL(IF(labstage=4,IF(labstatus=1,ROW(labstatus)-ROW('Lab dx'!$F$5)+1)),ROWS(I$38:I41))),"")</f>
        <v/>
      </c>
      <c r="J41" s="226"/>
      <c r="K41" s="229" t="str">
        <f t="array" ref="K41">IF(ROWS(K$38:K41)&lt;=$J$39,INDEX(IEC!$C$5:$C$21,SMALL(IF(iecstage=4,IF(iecstatus=0,ROW(iecstatus)-ROW(IEC!$E$5)+1)),ROWS(K$38:K41))),"")</f>
        <v/>
      </c>
      <c r="L41" s="224" t="str">
        <f t="array" ref="L41">IF(ROWS(L$38:L41)&lt;=$J$40,INDEX(IEC!$C$5:$C$21,SMALL(IF(iecstage=4,IF(iecstatus=1,ROW(iecstatus)-ROW(IEC!$E$5)+1)),ROWS(L$38:L41))),"")</f>
        <v/>
      </c>
      <c r="M41" s="230"/>
      <c r="N41" s="227" t="str">
        <f t="array" ref="N41">IF(ROWS(N$38:N41)&lt;=$M$39,INDEX('Prev &amp; Ctrl'!$C$5:$C$29,SMALL(IF(prevstage=4,IF(prevstatus=0,ROW(prevstatus)-ROW('Prev &amp; Ctrl'!$E$5)+1)),ROWS(N$38:N41))),"")</f>
        <v>Emergency response/contingency plan to any case of animal rabies involving a canine variant developed in preparation of the post elimination phase</v>
      </c>
      <c r="O41" s="228" t="str">
        <f t="array" ref="O41">IF(ROWS(O$38:O41)&lt;=$M$40,INDEX('Prev &amp; Ctrl'!$C$5:$C$29,SMALL(IF(prevstage=4,IF(prevstatus=1,ROW(prevstatus)-ROW('Prev &amp; Ctrl'!$E$5)+1)),ROWS(O$38:O41))),"")</f>
        <v/>
      </c>
      <c r="P41" s="226"/>
      <c r="Q41" s="229" t="str">
        <f t="array" ref="Q41">IF(ROWS(Q$29:Q41)&lt;=$P$39,INDEX('Dog popn'!$C$5:C44,SMALL(IF(dogstage=4,IF(dogstatus=0,ROW(dogstatus)-ROW('Dog popn'!$E$5)+1)),ROWS(Q$38:Q41))),"")</f>
        <v/>
      </c>
      <c r="R41" s="224" t="str">
        <f t="array" ref="R41">IF(ROWS(R$38:R41)&lt;=$P$40,INDEX('Dog popn'!$C$5:$C$9,SMALL(IF(dogstage=4,IF(dogstatus=1,ROW(dogstatus)-ROW('Dog popn'!$E$5)+1)),ROWS(R$38:R41))),"")</f>
        <v/>
      </c>
      <c r="S41" s="226"/>
      <c r="T41" s="227" t="str">
        <f t="array" ref="T41">IF(ROWS(T$38:T41)&lt;=$S$39,INDEX('Cross-cutting issues'!$C$5:$C$16,SMALL(IF(crossstage=4,IF(crossstatus=0,ROW(crossstatus)-ROW('Cross-cutting issues'!$E$5)+1)),ROWS(T$38:T41))),"")</f>
        <v/>
      </c>
      <c r="U41" s="228" t="str">
        <f t="array" ref="U41">IF(ROWS(U$38:U41)&lt;=$S$40,INDEX('Cross-cutting issues'!$C$5:$C$16,SMALL(IF(crossstage=4,IF(crossstatus=1,ROW(crossstatus)-ROW('Cross-cutting issues'!$E$5)+1)),ROWS(U$38:U41))),"")</f>
        <v/>
      </c>
      <c r="Z41" s="106"/>
    </row>
    <row r="42" spans="1:26" s="17" customFormat="1" x14ac:dyDescent="0.25">
      <c r="A42" s="52"/>
      <c r="B42" s="229" t="str">
        <f t="array" ref="B42">IF(ROWS(B$38:B42)&lt;=$A$39,INDEX(Legislation!$C$5:$C$19,SMALL(IF(STAGE=4,IF(STATUS=0,ROW(STATUS)-ROW(Legislation!$E$5)+1)),ROWS(B$38:B42))),"")</f>
        <v/>
      </c>
      <c r="C42" s="224" t="str">
        <f t="array" ref="C42">IF(ROWS(C$38:C42)&lt;=$A$40,INDEX(Legislation!$C$5:$C$19,SMALL(IF(STAGE=4,IF(STATUS=1,ROW(STATUS)-ROW(Legislation!$E$5)+1)),ROWS(C$38:C42))),"")</f>
        <v/>
      </c>
      <c r="D42" s="225"/>
      <c r="E42" s="229" t="str">
        <f t="array" ref="E42">IF(ROWS(E$38:E42)&lt;=$D$39,INDEX('Data coll &amp; ax'!$C$5:$C$22,SMALL(IF(datastage=4,IF(datastatus=0,ROW(datastatus)-ROW('Data coll &amp; ax'!$E$5)+1)),ROWS(E$38:E42))),"")</f>
        <v/>
      </c>
      <c r="F42" s="224" t="str">
        <f t="array" ref="F42">IF(ROWS(F$38:F42)&lt;=$D$40,INDEX('Data coll &amp; ax'!$C$5:$C$22,SMALL(IF(datastage=4,IF(datastatus=1,ROW(datastatus)-ROW('Data coll &amp; ax'!$E$5)+1)),ROWS(F$38:F42))),"")</f>
        <v/>
      </c>
      <c r="G42" s="226"/>
      <c r="H42" s="227" t="str">
        <f t="array" ref="H42">IF(ROWS(H$38:H42)&lt;=$G$39,INDEX('Lab dx'!$C$5:$C$15,SMALL(IF(labstage=4,IF(labstatus=0,ROW(labstatus)-ROW('Lab dx'!$E$5)+1)),ROWS(H$38:H42))),"")</f>
        <v/>
      </c>
      <c r="I42" s="228" t="str">
        <f t="array" ref="I42">IF(ROWS(I$38:I42)&lt;=$G$40,INDEX('Lab dx'!$C$5:$C$15,SMALL(IF(labstage=4,IF(labstatus=1,ROW(labstatus)-ROW('Lab dx'!$F$5)+1)),ROWS(I$38:I42))),"")</f>
        <v/>
      </c>
      <c r="J42" s="226"/>
      <c r="K42" s="229" t="str">
        <f t="array" ref="K42">IF(ROWS(K$38:K42)&lt;=$J$39,INDEX(IEC!$C$5:$C$21,SMALL(IF(iecstage=4,IF(iecstatus=0,ROW(iecstatus)-ROW(IEC!$E$5)+1)),ROWS(K$38:K42))),"")</f>
        <v/>
      </c>
      <c r="L42" s="224" t="str">
        <f t="array" ref="L42">IF(ROWS(L$38:L42)&lt;=$J$40,INDEX(IEC!$C$5:$C$21,SMALL(IF(iecstage=4,IF(iecstatus=1,ROW(iecstatus)-ROW(IEC!$E$5)+1)),ROWS(L$38:L42))),"")</f>
        <v/>
      </c>
      <c r="M42" s="230"/>
      <c r="N42" s="227" t="str">
        <f t="array" ref="N42">IF(ROWS(N$38:N42)&lt;=$M$39,INDEX('Prev &amp; Ctrl'!$C$5:$C$29,SMALL(IF(prevstage=4,IF(prevstatus=0,ROW(prevstatus)-ROW('Prev &amp; Ctrl'!$E$5)+1)),ROWS(N$38:N42))),"")</f>
        <v/>
      </c>
      <c r="O42" s="228" t="str">
        <f t="array" ref="O42">IF(ROWS(O$38:O42)&lt;=$M$40,INDEX('Prev &amp; Ctrl'!$C$5:$C$29,SMALL(IF(prevstage=4,IF(prevstatus=1,ROW(prevstatus)-ROW('Prev &amp; Ctrl'!$E$5)+1)),ROWS(O$38:O42))),"")</f>
        <v/>
      </c>
      <c r="P42" s="226"/>
      <c r="Q42" s="229" t="str">
        <f t="array" ref="Q42">IF(ROWS(Q$29:Q42)&lt;=$P$39,INDEX('Dog popn'!$C$5:C45,SMALL(IF(dogstage=4,IF(dogstatus=0,ROW(dogstatus)-ROW('Dog popn'!$E$5)+1)),ROWS(Q$38:Q42))),"")</f>
        <v/>
      </c>
      <c r="R42" s="224" t="str">
        <f t="array" ref="R42">IF(ROWS(R$38:R42)&lt;=$P$40,INDEX('Dog popn'!$C$5:$C$9,SMALL(IF(dogstage=4,IF(dogstatus=1,ROW(dogstatus)-ROW('Dog popn'!$E$5)+1)),ROWS(R$38:R42))),"")</f>
        <v/>
      </c>
      <c r="S42" s="226"/>
      <c r="T42" s="227" t="str">
        <f t="array" ref="T42">IF(ROWS(T$38:T42)&lt;=$S$39,INDEX('Cross-cutting issues'!$C$5:$C$16,SMALL(IF(crossstage=4,IF(crossstatus=0,ROW(crossstatus)-ROW('Cross-cutting issues'!$E$5)+1)),ROWS(T$38:T42))),"")</f>
        <v/>
      </c>
      <c r="U42" s="228" t="str">
        <f t="array" ref="U42">IF(ROWS(U$38:U42)&lt;=$S$40,INDEX('Cross-cutting issues'!$C$5:$C$16,SMALL(IF(crossstage=4,IF(crossstatus=1,ROW(crossstatus)-ROW('Cross-cutting issues'!$E$5)+1)),ROWS(U$38:U42))),"")</f>
        <v/>
      </c>
      <c r="Z42" s="106"/>
    </row>
    <row r="43" spans="1:26" s="17" customFormat="1" x14ac:dyDescent="0.25">
      <c r="A43" s="52"/>
      <c r="B43" s="229" t="str">
        <f t="array" ref="B43">IF(ROWS(B$38:B43)&lt;=$A$39,INDEX(Legislation!$C$5:$C$19,SMALL(IF(STAGE=4,IF(STATUS=0,ROW(STATUS)-ROW(Legislation!$E$5)+1)),ROWS(B$38:B43))),"")</f>
        <v/>
      </c>
      <c r="C43" s="224" t="str">
        <f t="array" ref="C43">IF(ROWS(C$38:C43)&lt;=$A$40,INDEX(Legislation!$C$5:$C$19,SMALL(IF(STAGE=4,IF(STATUS=1,ROW(STATUS)-ROW(Legislation!$E$5)+1)),ROWS(C$38:C43))),"")</f>
        <v/>
      </c>
      <c r="D43" s="225"/>
      <c r="E43" s="229" t="str">
        <f t="array" ref="E43">IF(ROWS(E$38:E43)&lt;=$D$39,INDEX('Data coll &amp; ax'!$C$5:$C$22,SMALL(IF(datastage=4,IF(datastatus=0,ROW(datastatus)-ROW('Data coll &amp; ax'!$E$5)+1)),ROWS(E$38:E43))),"")</f>
        <v/>
      </c>
      <c r="F43" s="224" t="str">
        <f t="array" ref="F43">IF(ROWS(F$38:F43)&lt;=$D$40,INDEX('Data coll &amp; ax'!$C$5:$C$22,SMALL(IF(datastage=4,IF(datastatus=1,ROW(datastatus)-ROW('Data coll &amp; ax'!$E$5)+1)),ROWS(F$38:F43))),"")</f>
        <v/>
      </c>
      <c r="G43" s="226"/>
      <c r="H43" s="227" t="str">
        <f t="array" ref="H43">IF(ROWS(H$38:H43)&lt;=$G$39,INDEX('Lab dx'!$C$5:$C$15,SMALL(IF(labstage=4,IF(labstatus=0,ROW(labstatus)-ROW('Lab dx'!$E$5)+1)),ROWS(H$38:H43))),"")</f>
        <v/>
      </c>
      <c r="I43" s="228" t="str">
        <f t="array" ref="I43">IF(ROWS(I$38:I43)&lt;=$G$40,INDEX('Lab dx'!$C$5:$C$15,SMALL(IF(labstage=4,IF(labstatus=1,ROW(labstatus)-ROW('Lab dx'!$F$5)+1)),ROWS(I$38:I43))),"")</f>
        <v/>
      </c>
      <c r="J43" s="226"/>
      <c r="K43" s="229" t="str">
        <f t="array" ref="K43">IF(ROWS(K$38:K43)&lt;=$J$39,INDEX(IEC!$C$5:$C$21,SMALL(IF(iecstage=4,IF(iecstatus=0,ROW(iecstatus)-ROW(IEC!$E$5)+1)),ROWS(K$38:K43))),"")</f>
        <v/>
      </c>
      <c r="L43" s="224" t="str">
        <f t="array" ref="L43">IF(ROWS(L$38:L43)&lt;=$J$40,INDEX(IEC!$C$5:$C$21,SMALL(IF(iecstage=4,IF(iecstatus=1,ROW(iecstatus)-ROW(IEC!$E$5)+1)),ROWS(L$38:L43))),"")</f>
        <v/>
      </c>
      <c r="M43" s="230"/>
      <c r="N43" s="227" t="str">
        <f t="array" ref="N43">IF(ROWS(N$38:N43)&lt;=$M$39,INDEX('Prev &amp; Ctrl'!$C$5:$C$29,SMALL(IF(prevstage=4,IF(prevstatus=0,ROW(prevstatus)-ROW('Prev &amp; Ctrl'!$E$5)+1)),ROWS(N$38:N43))),"")</f>
        <v/>
      </c>
      <c r="O43" s="228" t="str">
        <f t="array" ref="O43">IF(ROWS(O$38:O43)&lt;=$M$40,INDEX('Prev &amp; Ctrl'!$C$5:$C$29,SMALL(IF(prevstage=4,IF(prevstatus=1,ROW(prevstatus)-ROW('Prev &amp; Ctrl'!$E$5)+1)),ROWS(O$38:O43))),"")</f>
        <v/>
      </c>
      <c r="P43" s="226"/>
      <c r="Q43" s="229" t="str">
        <f t="array" ref="Q43">IF(ROWS(Q$29:Q43)&lt;=$P$39,INDEX('Dog popn'!$C$5:C46,SMALL(IF(dogstage=4,IF(dogstatus=0,ROW(dogstatus)-ROW('Dog popn'!$E$5)+1)),ROWS(Q$38:Q43))),"")</f>
        <v/>
      </c>
      <c r="R43" s="224" t="str">
        <f t="array" ref="R43">IF(ROWS(R$38:R43)&lt;=$P$40,INDEX('Dog popn'!$C$5:$C$9,SMALL(IF(dogstage=4,IF(dogstatus=1,ROW(dogstatus)-ROW('Dog popn'!$E$5)+1)),ROWS(R$38:R43))),"")</f>
        <v/>
      </c>
      <c r="S43" s="226"/>
      <c r="T43" s="227" t="str">
        <f t="array" ref="T43">IF(ROWS(T$38:T43)&lt;=$S$39,INDEX('Cross-cutting issues'!$C$5:$C$16,SMALL(IF(crossstage=4,IF(crossstatus=0,ROW(crossstatus)-ROW('Cross-cutting issues'!$E$5)+1)),ROWS(T$38:T43))),"")</f>
        <v/>
      </c>
      <c r="U43" s="228" t="str">
        <f t="array" ref="U43">IF(ROWS(U$38:U43)&lt;=$S$40,INDEX('Cross-cutting issues'!$C$5:$C$16,SMALL(IF(crossstage=4,IF(crossstatus=1,ROW(crossstatus)-ROW('Cross-cutting issues'!$E$5)+1)),ROWS(U$38:U43))),"")</f>
        <v/>
      </c>
      <c r="Z43" s="106"/>
    </row>
    <row r="44" spans="1:26" s="17" customFormat="1" x14ac:dyDescent="0.25">
      <c r="A44" s="52"/>
      <c r="B44" s="229" t="str">
        <f t="array" ref="B44">IF(ROWS(B$38:B44)&lt;=$A$39,INDEX(Legislation!$C$5:$C$19,SMALL(IF(STAGE=4,IF(STATUS=0,ROW(STATUS)-ROW(Legislation!$E$5)+1)),ROWS(B$38:B44))),"")</f>
        <v/>
      </c>
      <c r="C44" s="224" t="str">
        <f t="array" ref="C44">IF(ROWS(C$38:C44)&lt;=$A$40,INDEX(Legislation!$C$5:$C$19,SMALL(IF(STAGE=4,IF(STATUS=1,ROW(STATUS)-ROW(Legislation!$E$5)+1)),ROWS(C$38:C44))),"")</f>
        <v/>
      </c>
      <c r="D44" s="225"/>
      <c r="E44" s="229" t="str">
        <f t="array" ref="E44">IF(ROWS(E$38:E44)&lt;=$D$39,INDEX('Data coll &amp; ax'!$C$5:$C$22,SMALL(IF(datastage=4,IF(datastatus=0,ROW(datastatus)-ROW('Data coll &amp; ax'!$E$5)+1)),ROWS(E$38:E44))),"")</f>
        <v/>
      </c>
      <c r="F44" s="224" t="str">
        <f t="array" ref="F44">IF(ROWS(F$38:F44)&lt;=$D$40,INDEX('Data coll &amp; ax'!$C$5:$C$22,SMALL(IF(datastage=4,IF(datastatus=1,ROW(datastatus)-ROW('Data coll &amp; ax'!$E$5)+1)),ROWS(F$38:F44))),"")</f>
        <v/>
      </c>
      <c r="G44" s="226"/>
      <c r="H44" s="227" t="str">
        <f t="array" ref="H44">IF(ROWS(H$38:H44)&lt;=$G$39,INDEX('Lab dx'!$C$5:$C$15,SMALL(IF(labstage=4,IF(labstatus=0,ROW(labstatus)-ROW('Lab dx'!$E$5)+1)),ROWS(H$38:H44))),"")</f>
        <v/>
      </c>
      <c r="I44" s="228" t="str">
        <f t="array" ref="I44">IF(ROWS(I$38:I44)&lt;=$G$40,INDEX('Lab dx'!$C$5:$C$15,SMALL(IF(labstage=4,IF(labstatus=1,ROW(labstatus)-ROW('Lab dx'!$F$5)+1)),ROWS(I$38:I44))),"")</f>
        <v/>
      </c>
      <c r="J44" s="226"/>
      <c r="K44" s="229" t="str">
        <f t="array" ref="K44">IF(ROWS(K$38:K44)&lt;=$J$39,INDEX(IEC!$C$5:$C$21,SMALL(IF(iecstage=4,IF(iecstatus=0,ROW(iecstatus)-ROW(IEC!$E$5)+1)),ROWS(K$38:K44))),"")</f>
        <v/>
      </c>
      <c r="L44" s="224" t="str">
        <f t="array" ref="L44">IF(ROWS(L$38:L44)&lt;=$J$40,INDEX(IEC!$C$5:$C$21,SMALL(IF(iecstage=4,IF(iecstatus=1,ROW(iecstatus)-ROW(IEC!$E$5)+1)),ROWS(L$38:L44))),"")</f>
        <v/>
      </c>
      <c r="M44" s="230"/>
      <c r="N44" s="227" t="str">
        <f t="array" ref="N44">IF(ROWS(N$38:N44)&lt;=$M$39,INDEX('Prev &amp; Ctrl'!$C$5:$C$29,SMALL(IF(prevstage=4,IF(prevstatus=0,ROW(prevstatus)-ROW('Prev &amp; Ctrl'!$E$5)+1)),ROWS(N$38:N44))),"")</f>
        <v/>
      </c>
      <c r="O44" s="228" t="str">
        <f t="array" ref="O44">IF(ROWS(O$38:O44)&lt;=$M$40,INDEX('Prev &amp; Ctrl'!$C$5:$C$29,SMALL(IF(prevstage=4,IF(prevstatus=1,ROW(prevstatus)-ROW('Prev &amp; Ctrl'!$E$5)+1)),ROWS(O$38:O44))),"")</f>
        <v/>
      </c>
      <c r="P44" s="226"/>
      <c r="Q44" s="229" t="str">
        <f t="array" ref="Q44">IF(ROWS(Q$29:Q44)&lt;=$P$39,INDEX('Dog popn'!$C$5:C47,SMALL(IF(dogstage=4,IF(dogstatus=0,ROW(dogstatus)-ROW('Dog popn'!$E$5)+1)),ROWS(Q$38:Q44))),"")</f>
        <v/>
      </c>
      <c r="R44" s="224" t="str">
        <f t="array" ref="R44">IF(ROWS(R$38:R44)&lt;=$P$40,INDEX('Dog popn'!$C$5:$C$9,SMALL(IF(dogstage=4,IF(dogstatus=1,ROW(dogstatus)-ROW('Dog popn'!$E$5)+1)),ROWS(R$38:R44))),"")</f>
        <v/>
      </c>
      <c r="S44" s="226"/>
      <c r="T44" s="227" t="str">
        <f t="array" ref="T44">IF(ROWS(T$38:T44)&lt;=$S$39,INDEX('Cross-cutting issues'!$C$5:$C$16,SMALL(IF(crossstage=4,IF(crossstatus=0,ROW(crossstatus)-ROW('Cross-cutting issues'!$E$5)+1)),ROWS(T$38:T44))),"")</f>
        <v/>
      </c>
      <c r="U44" s="228" t="str">
        <f t="array" ref="U44">IF(ROWS(U$38:U44)&lt;=$S$40,INDEX('Cross-cutting issues'!$C$5:$C$16,SMALL(IF(crossstage=4,IF(crossstatus=1,ROW(crossstatus)-ROW('Cross-cutting issues'!$E$5)+1)),ROWS(U$38:U44))),"")</f>
        <v/>
      </c>
      <c r="Z44" s="106"/>
    </row>
    <row r="45" spans="1:26" s="17" customFormat="1" x14ac:dyDescent="0.25">
      <c r="A45" s="52"/>
      <c r="B45" s="229" t="str">
        <f t="array" ref="B45">IF(ROWS(B$38:B45)&lt;=$A$39,INDEX(Legislation!$C$5:$C$19,SMALL(IF(STAGE=4,IF(STATUS=0,ROW(STATUS)-ROW(Legislation!$E$5)+1)),ROWS(B$38:B45))),"")</f>
        <v/>
      </c>
      <c r="C45" s="224" t="str">
        <f t="array" ref="C45">IF(ROWS(C$38:C45)&lt;=$A$40,INDEX(Legislation!$C$5:$C$19,SMALL(IF(STAGE=4,IF(STATUS=1,ROW(STATUS)-ROW(Legislation!$E$5)+1)),ROWS(C$38:C45))),"")</f>
        <v/>
      </c>
      <c r="D45" s="225"/>
      <c r="E45" s="229" t="str">
        <f t="array" ref="E45">IF(ROWS(E$38:E45)&lt;=$D$39,INDEX('Data coll &amp; ax'!$C$5:$C$22,SMALL(IF(datastage=4,IF(datastatus=0,ROW(datastatus)-ROW('Data coll &amp; ax'!$E$5)+1)),ROWS(E$38:E45))),"")</f>
        <v/>
      </c>
      <c r="F45" s="224" t="str">
        <f t="array" ref="F45">IF(ROWS(F$38:F45)&lt;=$D$40,INDEX('Data coll &amp; ax'!$C$5:$C$22,SMALL(IF(datastage=4,IF(datastatus=1,ROW(datastatus)-ROW('Data coll &amp; ax'!$E$5)+1)),ROWS(F$38:F45))),"")</f>
        <v/>
      </c>
      <c r="G45" s="226"/>
      <c r="H45" s="227" t="str">
        <f t="array" ref="H45">IF(ROWS(H$38:H45)&lt;=$G$39,INDEX('Lab dx'!$C$5:$C$15,SMALL(IF(labstage=4,IF(labstatus=0,ROW(labstatus)-ROW('Lab dx'!$E$5)+1)),ROWS(H$38:H45))),"")</f>
        <v/>
      </c>
      <c r="I45" s="228" t="str">
        <f t="array" ref="I45">IF(ROWS(I$38:I45)&lt;=$G$40,INDEX('Lab dx'!$C$5:$C$15,SMALL(IF(labstage=4,IF(labstatus=1,ROW(labstatus)-ROW('Lab dx'!$F$5)+1)),ROWS(I$38:I45))),"")</f>
        <v/>
      </c>
      <c r="J45" s="226"/>
      <c r="K45" s="229" t="str">
        <f t="array" ref="K45">IF(ROWS(K$38:K45)&lt;=$J$39,INDEX(IEC!$C$5:$C$21,SMALL(IF(iecstage=4,IF(iecstatus=0,ROW(iecstatus)-ROW(IEC!$E$5)+1)),ROWS(K$38:K45))),"")</f>
        <v/>
      </c>
      <c r="L45" s="224" t="str">
        <f t="array" ref="L45">IF(ROWS(L$38:L45)&lt;=$J$40,INDEX(IEC!$C$5:$C$21,SMALL(IF(iecstage=4,IF(iecstatus=1,ROW(iecstatus)-ROW(IEC!$E$5)+1)),ROWS(L$38:L45))),"")</f>
        <v/>
      </c>
      <c r="M45" s="230"/>
      <c r="N45" s="227" t="str">
        <f t="array" ref="N45">IF(ROWS(N$38:N45)&lt;=$M$39,INDEX('Prev &amp; Ctrl'!$C$5:$C$29,SMALL(IF(prevstage=4,IF(prevstatus=0,ROW(prevstatus)-ROW('Prev &amp; Ctrl'!$E$5)+1)),ROWS(N$38:N45))),"")</f>
        <v/>
      </c>
      <c r="O45" s="228" t="str">
        <f t="array" ref="O45">IF(ROWS(O$38:O45)&lt;=$M$40,INDEX('Prev &amp; Ctrl'!$C$5:$C$29,SMALL(IF(prevstage=4,IF(prevstatus=1,ROW(prevstatus)-ROW('Prev &amp; Ctrl'!$E$5)+1)),ROWS(O$38:O45))),"")</f>
        <v/>
      </c>
      <c r="P45" s="226"/>
      <c r="Q45" s="229" t="str">
        <f t="array" ref="Q45">IF(ROWS(Q$29:Q45)&lt;=$P$39,INDEX('Dog popn'!$C$5:C48,SMALL(IF(dogstage=4,IF(dogstatus=0,ROW(dogstatus)-ROW('Dog popn'!$E$5)+1)),ROWS(Q$38:Q45))),"")</f>
        <v/>
      </c>
      <c r="R45" s="224" t="str">
        <f t="array" ref="R45">IF(ROWS(R$38:R45)&lt;=$P$40,INDEX('Dog popn'!$C$5:$C$9,SMALL(IF(dogstage=4,IF(dogstatus=1,ROW(dogstatus)-ROW('Dog popn'!$E$5)+1)),ROWS(R$38:R45))),"")</f>
        <v/>
      </c>
      <c r="S45" s="226"/>
      <c r="T45" s="227" t="str">
        <f t="array" ref="T45">IF(ROWS(T$38:T45)&lt;=$S$39,INDEX('Cross-cutting issues'!$C$5:$C$16,SMALL(IF(crossstage=4,IF(crossstatus=0,ROW(crossstatus)-ROW('Cross-cutting issues'!$E$5)+1)),ROWS(T$38:T45))),"")</f>
        <v/>
      </c>
      <c r="U45" s="228" t="str">
        <f t="array" ref="U45">IF(ROWS(U$38:U45)&lt;=$S$40,INDEX('Cross-cutting issues'!$C$5:$C$16,SMALL(IF(crossstage=4,IF(crossstatus=1,ROW(crossstatus)-ROW('Cross-cutting issues'!$E$5)+1)),ROWS(U$38:U45))),"")</f>
        <v/>
      </c>
      <c r="Z45" s="106"/>
    </row>
    <row r="46" spans="1:26" s="17" customFormat="1" x14ac:dyDescent="0.25">
      <c r="A46" s="53"/>
      <c r="B46" s="231" t="str">
        <f t="array" ref="B46">IF(ROWS(B$38:B46)&lt;=$A$39,INDEX(Legislation!$C$5:$C$19,SMALL(IF(STAGE=4,IF(STATUS=0,ROW(STATUS)-ROW(Legislation!$E$5)+1)),ROWS(B$38:B46))),"")</f>
        <v/>
      </c>
      <c r="C46" s="232" t="str">
        <f t="array" ref="C46">IF(ROWS(C$38:C46)&lt;=$A$40,INDEX(Legislation!$C$5:$C$19,SMALL(IF(STAGE=4,IF(STATUS=1,ROW(STATUS)-ROW(Legislation!$E$5)+1)),ROWS(C$38:C46))),"")</f>
        <v/>
      </c>
      <c r="D46" s="233"/>
      <c r="E46" s="231" t="str">
        <f t="array" ref="E46">IF(ROWS(E$38:E46)&lt;=$D$39,INDEX('Data coll &amp; ax'!$C$5:$C$22,SMALL(IF(datastage=4,IF(datastatus=0,ROW(datastatus)-ROW('Data coll &amp; ax'!$E$5)+1)),ROWS(E$38:E46))),"")</f>
        <v/>
      </c>
      <c r="F46" s="232" t="str">
        <f t="array" ref="F46">IF(ROWS(F$38:F46)&lt;=$D$40,INDEX('Data coll &amp; ax'!$C$5:$C$22,SMALL(IF(datastage=4,IF(datastatus=1,ROW(datastatus)-ROW('Data coll &amp; ax'!$E$5)+1)),ROWS(F$38:F46))),"")</f>
        <v/>
      </c>
      <c r="G46" s="234"/>
      <c r="H46" s="235" t="str">
        <f t="array" ref="H46">IF(ROWS(H$38:H46)&lt;=$G$39,INDEX('Lab dx'!$C$5:$C$15,SMALL(IF(labstage=4,IF(labstatus=0,ROW(labstatus)-ROW('Lab dx'!$E$5)+1)),ROWS(H$38:H46))),"")</f>
        <v/>
      </c>
      <c r="I46" s="236" t="str">
        <f t="array" ref="I46">IF(ROWS(I$38:I46)&lt;=$G$40,INDEX('Lab dx'!$C$5:$C$15,SMALL(IF(labstage=4,IF(labstatus=1,ROW(labstatus)-ROW('Lab dx'!$F$5)+1)),ROWS(I$38:I46))),"")</f>
        <v/>
      </c>
      <c r="J46" s="234"/>
      <c r="K46" s="231" t="str">
        <f t="array" ref="K46">IF(ROWS(K$38:K46)&lt;=$J$39,INDEX(IEC!$C$5:$C$21,SMALL(IF(iecstage=4,IF(iecstatus=0,ROW(iecstatus)-ROW(IEC!$E$5)+1)),ROWS(K$38:K46))),"")</f>
        <v/>
      </c>
      <c r="L46" s="232" t="str">
        <f t="array" ref="L46">IF(ROWS(L$38:L46)&lt;=$J$40,INDEX(IEC!$C$5:$C$21,SMALL(IF(iecstage=4,IF(iecstatus=1,ROW(iecstatus)-ROW(IEC!$E$5)+1)),ROWS(L$38:L46))),"")</f>
        <v/>
      </c>
      <c r="M46" s="237"/>
      <c r="N46" s="235" t="str">
        <f t="array" ref="N46">IF(ROWS(N$38:N46)&lt;=$M$39,INDEX('Prev &amp; Ctrl'!$C$5:$C$29,SMALL(IF(prevstage=4,IF(prevstatus=0,ROW(prevstatus)-ROW('Prev &amp; Ctrl'!$E$5)+1)),ROWS(N$38:N46))),"")</f>
        <v/>
      </c>
      <c r="O46" s="236" t="str">
        <f t="array" ref="O46">IF(ROWS(O$38:O46)&lt;=$M$40,INDEX('Prev &amp; Ctrl'!$C$5:$C$29,SMALL(IF(prevstage=4,IF(prevstatus=1,ROW(prevstatus)-ROW('Prev &amp; Ctrl'!$E$5)+1)),ROWS(O$38:O46))),"")</f>
        <v/>
      </c>
      <c r="P46" s="234"/>
      <c r="Q46" s="231" t="str">
        <f t="array" ref="Q46">IF(ROWS(Q$29:Q46)&lt;=$P$39,INDEX('Dog popn'!$C$5:C49,SMALL(IF(dogstage=4,IF(dogstatus=0,ROW(dogstatus)-ROW('Dog popn'!$E$5)+1)),ROWS(Q$38:Q46))),"")</f>
        <v/>
      </c>
      <c r="R46" s="232" t="str">
        <f t="array" ref="R46">IF(ROWS(R$38:R46)&lt;=$P$40,INDEX('Dog popn'!$C$5:$C$9,SMALL(IF(dogstage=4,IF(dogstatus=1,ROW(dogstatus)-ROW('Dog popn'!$E$5)+1)),ROWS(R$38:R46))),"")</f>
        <v/>
      </c>
      <c r="S46" s="234"/>
      <c r="T46" s="235" t="str">
        <f t="array" ref="T46">IF(ROWS(T$38:T46)&lt;=$S$39,INDEX('Cross-cutting issues'!$C$5:$C$16,SMALL(IF(crossstage=4,IF(crossstatus=0,ROW(crossstatus)-ROW('Cross-cutting issues'!$E$5)+1)),ROWS(T$38:T46))),"")</f>
        <v/>
      </c>
      <c r="U46" s="236" t="str">
        <f t="array" ref="U46">IF(ROWS(U$38:U46)&lt;=$S$40,INDEX('Cross-cutting issues'!$C$5:$C$16,SMALL(IF(crossstage=4,IF(crossstatus=1,ROW(crossstatus)-ROW('Cross-cutting issues'!$E$5)+1)),ROWS(U$38:U46))),"")</f>
        <v/>
      </c>
      <c r="Z46" s="106"/>
    </row>
    <row r="47" spans="1:26" s="17" customFormat="1" ht="38.25" x14ac:dyDescent="0.25">
      <c r="A47" s="59">
        <v>5</v>
      </c>
      <c r="B47" s="216" t="str">
        <f t="array" ref="B47">IF(ROWS(B$47:B47)&lt;=$A$48,INDEX(Legislation!$C$5:$C$19,SMALL(IF(STAGE=5,IF(STATUS=0,ROW(STATUS)-ROW(Legislation!$E$5)+1)),ROWS(B$47:B47))),"")</f>
        <v/>
      </c>
      <c r="C47" s="217" t="str">
        <f t="array" ref="C47">IF(ROWS(C$47:C47)&lt;=$A$49,INDEX(Legislation!$C$5:$C$19,SMALL(IF(STAGE=5,IF(STATUS=1,ROW(STATUS)-ROW(Legislation!$E$5)+1)),ROWS(C$47:C47))),"")</f>
        <v/>
      </c>
      <c r="D47" s="218"/>
      <c r="E47" s="220" t="str">
        <f t="array" ref="E47">IF(ROWS(E$47:E47)&lt;=$D$48,INDEX('Data coll &amp; ax'!$C$5:$C$22,SMALL(IF(datastage=5,IF(datastatus=0,ROW(datastatus)-ROW('Data coll &amp; ax'!$E$5)+1)),ROWS(E$47:E47))),"")</f>
        <v>On-going surveillance system for rabies maintained</v>
      </c>
      <c r="F47" s="221" t="str">
        <f t="array" ref="F47">IF(ROWS(F$47:F47)&lt;=$D$49,INDEX('Data coll &amp; ax'!$C$5:$C$22,SMALL(IF(datastage=5,IF(datastatus=1,ROW(datastatus)-ROW('Data coll &amp; ax'!$E$5)+1)),ROWS(F$47:F47))),"")</f>
        <v/>
      </c>
      <c r="G47" s="219"/>
      <c r="H47" s="220" t="str">
        <f t="array" ref="H47">IF(ROWS(H$47:H47)&lt;=$G$48,INDEX('Lab dx'!$C$5:$C$15,SMALL(IF(labstage=5,IF(labstatus=0,ROW(labstatus)-ROW('Lab dx'!$E$5)+1)),ROWS(H$47:H47))),"")</f>
        <v>On-going laboratory investigation of all suspected cases in domestic and wild animal species in the country</v>
      </c>
      <c r="I47" s="221" t="str">
        <f t="array" ref="I47">IF(ROWS(I$47:I47)&lt;=$G$49,INDEX('Lab dx'!$C$5:$C$15,SMALL(IF(labstage=5,IF(labstatus=1,ROW(labstatus)-ROW('Lab dx'!$F$5)+1)),ROWS(I$47:I47))),"")</f>
        <v/>
      </c>
      <c r="J47" s="219"/>
      <c r="K47" s="216" t="str">
        <f t="array" ref="K47">IF(ROWS(K$47:K47)&lt;=$J$48,INDEX(IEC!$C$5:$C$21,SMALL(IF(iecstage=5,IF(iecstatus=0,ROW(iecstatus)-ROW(IEC!$E$5)+1)),ROWS(K$47:K47))),"")</f>
        <v>Dog population management and responsible dog ownership campaigns are continued</v>
      </c>
      <c r="L47" s="217" t="str">
        <f t="array" ref="L47">IF(ROWS(L$47:L47)&lt;=$J$49,INDEX(IEC!$C$5:$C$21,SMALL(IF(iecstage=5,IF(iecstatus=1,ROW(iecstatus)-ROW(IEC!$E$5)+1)),ROWS(L$47:L47))),"")</f>
        <v/>
      </c>
      <c r="M47" s="222"/>
      <c r="N47" s="220" t="str">
        <f t="array" ref="N47">IF(ROWS(N$47:N47)&lt;=$M$48,INDEX('Prev &amp; Ctrl'!$C$5:$C$29,SMALL(IF(prevstage=5,IF(prevstatus=0,ROW(prevstatus)-ROW('Prev &amp; Ctrl'!$E$5)+1)),ROWS(N$47:N47))),"")</f>
        <v>Modified protocols for PEP administration for rabies free areas implemented</v>
      </c>
      <c r="O47" s="221" t="str">
        <f t="array" ref="O47">IF(ROWS(O$47:O47)&lt;=$M$49,INDEX('Prev &amp; Ctrl'!$C$5:$C$29,SMALL(IF(prevstage=5,IF(prevstatus=1,ROW(prevstatus)-ROW('Prev &amp; Ctrl'!$E$5)+1)),ROWS(O$47:O47))),"")</f>
        <v/>
      </c>
      <c r="P47" s="219"/>
      <c r="Q47" s="216" t="str">
        <f t="array" ref="Q47">IF(ROWS(Q$47:Q47)&lt;=$P$48,INDEX('Dog popn'!$C$5:C50,SMALL(IF(dogstage=5,IF(dogstatus=0,ROW(dogstatus)-ROW('Dog popn'!$E$5)+1)),ROWS(Q$47:Q47))),"")</f>
        <v>Dog population management and responsible dog ownership campaigns are continued</v>
      </c>
      <c r="R47" s="217" t="str">
        <f t="array" ref="R47">IF(ROWS(R$47:R47)&lt;=$P$49,INDEX('Dog popn'!$C$5:$C$9,SMALL(IF(dogstage=5,IF(dogstatus=1,ROW(dogstatus)-ROW('Dog popn'!$E$5)+1)),ROWS(R$47:R47))),"")</f>
        <v/>
      </c>
      <c r="S47" s="219"/>
      <c r="T47" s="220" t="str">
        <f t="array" ref="T47">IF(ROWS(T$47:T47)&lt;=$S$48,INDEX('Cross-cutting issues'!$C$5:$C$16,SMALL(IF(crossstage=5,IF(crossstatus=0,ROW(crossstatus)-ROW('Cross-cutting issues'!$E$5)+1)),ROWS(T$47:T47))),"")</f>
        <v/>
      </c>
      <c r="U47" s="221" t="str">
        <f t="array" ref="U47">IF(ROWS(U$47:U47)&lt;=$S$49,INDEX('Cross-cutting issues'!$C$5:$C$16,SMALL(IF(crossstage=5,IF(crossstatus=1,ROW(crossstatus)-ROW('Cross-cutting issues'!$E$5)+1)),ROWS(U$47:U47))),"")</f>
        <v/>
      </c>
      <c r="Z47" s="109"/>
    </row>
    <row r="48" spans="1:26" s="17" customFormat="1" ht="38.25" x14ac:dyDescent="0.25">
      <c r="A48" s="54">
        <f>SUMPRODUCT((STAGE=5)*(STATUS=0))</f>
        <v>0</v>
      </c>
      <c r="B48" s="229" t="str">
        <f t="array" ref="B48">IF(ROWS(B$47:B48)&lt;=$A$48,INDEX(Legislation!$C$5:$C$19,SMALL(IF(STAGE=5,IF(STATUS=0,ROW(STATUS)-ROW(Legislation!$E$5)+1)),ROWS(B$47:B48))),"")</f>
        <v/>
      </c>
      <c r="C48" s="224" t="str">
        <f t="array" ref="C48">IF(ROWS(C$47:C48)&lt;=$A$49,INDEX(Legislation!$C$5:$C$19,SMALL(IF(STAGE=5,IF(STATUS=1,ROW(STATUS)-ROW(Legislation!$E$5)+1)),ROWS(C$47:C48))),"")</f>
        <v/>
      </c>
      <c r="D48" s="225">
        <f>SUMPRODUCT((datastage=5)*(datastatus=0))</f>
        <v>1</v>
      </c>
      <c r="E48" s="227" t="str">
        <f t="array" ref="E48">IF(ROWS(E$47:E48)&lt;=$D$48,INDEX('Data coll &amp; ax'!$C$5:$C$22,SMALL(IF(datastage=5,IF(datastatus=0,ROW(datastatus)-ROW('Data coll &amp; ax'!$E$5)+1)),ROWS(E$47:E48))),"")</f>
        <v/>
      </c>
      <c r="F48" s="228" t="str">
        <f t="array" ref="F48">IF(ROWS(F$47:F48)&lt;=$D$49,INDEX('Data coll &amp; ax'!$C$5:$C$22,SMALL(IF(datastage=5,IF(datastatus=1,ROW(datastatus)-ROW('Data coll &amp; ax'!$E$5)+1)),ROWS(F$47:F48))),"")</f>
        <v/>
      </c>
      <c r="G48" s="226">
        <f>SUMPRODUCT((labstage=5)*(labstatus=0))</f>
        <v>1</v>
      </c>
      <c r="H48" s="227" t="str">
        <f t="array" ref="H48">IF(ROWS(H$47:H48)&lt;=$G$48,INDEX('Lab dx'!$C$5:$C$15,SMALL(IF(labstage=5,IF(labstatus=0,ROW(labstatus)-ROW('Lab dx'!$E$5)+1)),ROWS(H$47:H48))),"")</f>
        <v/>
      </c>
      <c r="I48" s="228" t="str">
        <f t="array" ref="I48">IF(ROWS(I$47:I48)&lt;=$G$49,INDEX('Lab dx'!$C$5:$C$15,SMALL(IF(labstage=5,IF(labstatus=1,ROW(labstatus)-ROW('Lab dx'!$F$5)+1)),ROWS(I$47:I48))),"")</f>
        <v/>
      </c>
      <c r="J48" s="226">
        <f>SUMPRODUCT((iecstage=5)*(iecstatus=0))</f>
        <v>1</v>
      </c>
      <c r="K48" s="229" t="str">
        <f t="array" ref="K48">IF(ROWS(K$47:K48)&lt;=$J$48,INDEX(IEC!$C$5:$C$21,SMALL(IF(iecstage=5,IF(iecstatus=0,ROW(iecstatus)-ROW(IEC!$E$5)+1)),ROWS(K$47:K48))),"")</f>
        <v/>
      </c>
      <c r="L48" s="224" t="str">
        <f t="array" ref="L48">IF(ROWS(L$47:L48)&lt;=$J$49,INDEX(IEC!$C$5:$C$21,SMALL(IF(iecstage=5,IF(iecstatus=1,ROW(iecstatus)-ROW(IEC!$E$5)+1)),ROWS(L$47:L48))),"")</f>
        <v/>
      </c>
      <c r="M48" s="230">
        <f>SUMPRODUCT((prevstage=5)*(prevstatus=0))</f>
        <v>3</v>
      </c>
      <c r="N48" s="227" t="str">
        <f t="array" ref="N48">IF(ROWS(N$47:N48)&lt;=$M$48,INDEX('Prev &amp; Ctrl'!$C$5:$C$29,SMALL(IF(prevstage=5,IF(prevstatus=0,ROW(prevstatus)-ROW('Prev &amp; Ctrl'!$E$5)+1)),ROWS(N$47:N48))),"")</f>
        <v>Based on risk assessment, dog vaccination campaigns are maintained where justified</v>
      </c>
      <c r="O48" s="228" t="str">
        <f t="array" ref="O48">IF(ROWS(O$47:O48)&lt;=$M$49,INDEX('Prev &amp; Ctrl'!$C$5:$C$29,SMALL(IF(prevstage=5,IF(prevstatus=1,ROW(prevstatus)-ROW('Prev &amp; Ctrl'!$E$5)+1)),ROWS(O$47:O48))),"")</f>
        <v/>
      </c>
      <c r="P48" s="226">
        <f>SUMPRODUCT((dogstage=5)*(dogstatus=0))</f>
        <v>1</v>
      </c>
      <c r="Q48" s="229" t="str">
        <f t="array" ref="Q48">IF(ROWS(Q$47:Q48)&lt;=$P$48,INDEX('Dog popn'!$C$5:C51,SMALL(IF(dogstage=5,IF(dogstatus=0,ROW(dogstatus)-ROW('Dog popn'!$E$5)+1)),ROWS(Q$47:Q48))),"")</f>
        <v/>
      </c>
      <c r="R48" s="224" t="str">
        <f t="array" ref="R48">IF(ROWS(R$47:R48)&lt;=$P$49,INDEX('Dog popn'!$C$5:$C$9,SMALL(IF(dogstage=5,IF(dogstatus=1,ROW(dogstatus)-ROW('Dog popn'!$E$5)+1)),ROWS(R$47:R48))),"")</f>
        <v/>
      </c>
      <c r="S48" s="226">
        <f>SUMPRODUCT((crossstage=5)*(crossstatus=0))</f>
        <v>0</v>
      </c>
      <c r="T48" s="227" t="str">
        <f t="array" ref="T48">IF(ROWS(T$47:T48)&lt;=$S$48,INDEX('Cross-cutting issues'!$C$5:$C$16,SMALL(IF(crossstage=5,IF(crossstatus=0,ROW(crossstatus)-ROW('Cross-cutting issues'!$E$5)+1)),ROWS(T$47:T48))),"")</f>
        <v/>
      </c>
      <c r="U48" s="228" t="str">
        <f t="array" ref="U48">IF(ROWS(U$47:U48)&lt;=$S$49,INDEX('Cross-cutting issues'!$C$5:$C$16,SMALL(IF(crossstage=5,IF(crossstatus=1,ROW(crossstatus)-ROW('Cross-cutting issues'!$E$5)+1)),ROWS(U$47:U48))),"")</f>
        <v/>
      </c>
      <c r="Z48" s="109"/>
    </row>
    <row r="49" spans="1:26" s="17" customFormat="1" ht="25.5" x14ac:dyDescent="0.25">
      <c r="A49" s="54">
        <f>SUMPRODUCT((STAGE=5)*(STATUS=1))</f>
        <v>0</v>
      </c>
      <c r="B49" s="229" t="str">
        <f t="array" ref="B49">IF(ROWS(B$47:B49)&lt;=$A$48,INDEX(Legislation!$C$5:$C$19,SMALL(IF(STAGE=5,IF(STATUS=0,ROW(STATUS)-ROW(Legislation!$E$5)+1)),ROWS(B$47:B49))),"")</f>
        <v/>
      </c>
      <c r="C49" s="224" t="str">
        <f t="array" ref="C49">IF(ROWS(C$47:C49)&lt;=$A$49,INDEX(Legislation!$C$5:$C$19,SMALL(IF(STAGE=5,IF(STATUS=1,ROW(STATUS)-ROW(Legislation!$E$5)+1)),ROWS(C$47:C49))),"")</f>
        <v/>
      </c>
      <c r="D49" s="225">
        <f>SUMPRODUCT((datastage=5)*(datastatus=1))</f>
        <v>0</v>
      </c>
      <c r="E49" s="227" t="str">
        <f t="array" ref="E49">IF(ROWS(E$47:E49)&lt;=$D$48,INDEX('Data coll &amp; ax'!$C$5:$C$22,SMALL(IF(datastage=5,IF(datastatus=0,ROW(datastatus)-ROW('Data coll &amp; ax'!$E$5)+1)),ROWS(E$47:E49))),"")</f>
        <v/>
      </c>
      <c r="F49" s="228" t="str">
        <f t="array" ref="F49">IF(ROWS(F$47:F49)&lt;=$D$49,INDEX('Data coll &amp; ax'!$C$5:$C$22,SMALL(IF(datastage=5,IF(datastatus=1,ROW(datastatus)-ROW('Data coll &amp; ax'!$E$5)+1)),ROWS(F$47:F49))),"")</f>
        <v/>
      </c>
      <c r="G49" s="226">
        <f>SUMPRODUCT((labstage=5)*(labstatus=1))</f>
        <v>0</v>
      </c>
      <c r="H49" s="227" t="str">
        <f t="array" ref="H49">IF(ROWS(H$47:H49)&lt;=$G$48,INDEX('Lab dx'!$C$5:$C$15,SMALL(IF(labstage=5,IF(labstatus=0,ROW(labstatus)-ROW('Lab dx'!$E$5)+1)),ROWS(H$47:H49))),"")</f>
        <v/>
      </c>
      <c r="I49" s="228" t="str">
        <f t="array" ref="I49">IF(ROWS(I$47:I49)&lt;=$G$49,INDEX('Lab dx'!$C$5:$C$15,SMALL(IF(labstage=5,IF(labstatus=1,ROW(labstatus)-ROW('Lab dx'!$F$5)+1)),ROWS(I$47:I49))),"")</f>
        <v/>
      </c>
      <c r="J49" s="226">
        <f>SUMPRODUCT((iecstage=5)*(iecstatus=1))</f>
        <v>0</v>
      </c>
      <c r="K49" s="229" t="str">
        <f t="array" ref="K49">IF(ROWS(K$47:K49)&lt;=$J$48,INDEX(IEC!$C$5:$C$21,SMALL(IF(iecstage=5,IF(iecstatus=0,ROW(iecstatus)-ROW(IEC!$E$5)+1)),ROWS(K$47:K49))),"")</f>
        <v/>
      </c>
      <c r="L49" s="224" t="str">
        <f t="array" ref="L49">IF(ROWS(L$47:L49)&lt;=$J$49,INDEX(IEC!$C$5:$C$21,SMALL(IF(iecstage=5,IF(iecstatus=1,ROW(iecstatus)-ROW(IEC!$E$5)+1)),ROWS(L$47:L49))),"")</f>
        <v/>
      </c>
      <c r="M49" s="230">
        <f>SUMPRODUCT((prevstage=5)*(prevstatus=1))</f>
        <v>0</v>
      </c>
      <c r="N49" s="227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228" t="str">
        <f t="array" ref="O49">IF(ROWS(O$47:O49)&lt;=$M$49,INDEX('Prev &amp; Ctrl'!$C$5:$C$29,SMALL(IF(prevstage=5,IF(prevstatus=1,ROW(prevstatus)-ROW('Prev &amp; Ctrl'!$E$5)+1)),ROWS(O$47:O49))),"")</f>
        <v/>
      </c>
      <c r="P49" s="226">
        <f>SUMPRODUCT((dogstage=5)*(dogstatus=1))</f>
        <v>0</v>
      </c>
      <c r="Q49" s="229" t="str">
        <f t="array" ref="Q49">IF(ROWS(Q$47:Q49)&lt;=$P$48,INDEX('Dog popn'!$C$5:C52,SMALL(IF(dogstage=5,IF(dogstatus=0,ROW(dogstatus)-ROW('Dog popn'!$E$5)+1)),ROWS(Q$47:Q49))),"")</f>
        <v/>
      </c>
      <c r="R49" s="224" t="str">
        <f t="array" ref="R49">IF(ROWS(R$47:R49)&lt;=$P$49,INDEX('Dog popn'!$C$5:$C$9,SMALL(IF(dogstage=5,IF(dogstatus=1,ROW(dogstatus)-ROW('Dog popn'!$E$5)+1)),ROWS(R$47:R49))),"")</f>
        <v/>
      </c>
      <c r="S49" s="226">
        <f>SUMPRODUCT((crossstage=5)*(crossstatus=1))</f>
        <v>0</v>
      </c>
      <c r="T49" s="227" t="str">
        <f t="array" ref="T49">IF(ROWS(T$47:T49)&lt;=$S$48,INDEX('Cross-cutting issues'!$C$5:$C$16,SMALL(IF(crossstage=5,IF(crossstatus=0,ROW(crossstatus)-ROW('Cross-cutting issues'!$E$5)+1)),ROWS(T$47:T49))),"")</f>
        <v/>
      </c>
      <c r="U49" s="228" t="str">
        <f t="array" ref="U49">IF(ROWS(U$47:U49)&lt;=$S$49,INDEX('Cross-cutting issues'!$C$5:$C$16,SMALL(IF(crossstage=5,IF(crossstatus=1,ROW(crossstatus)-ROW('Cross-cutting issues'!$E$5)+1)),ROWS(U$47:U49))),"")</f>
        <v/>
      </c>
      <c r="Z49" s="109"/>
    </row>
    <row r="50" spans="1:26" s="17" customFormat="1" x14ac:dyDescent="0.25">
      <c r="A50" s="55"/>
      <c r="B50" s="229" t="str">
        <f t="array" ref="B50">IF(ROWS(B$47:B50)&lt;=$A$48,INDEX(Legislation!$C$5:$C$19,SMALL(IF(STAGE=5,IF(STATUS=0,ROW(STATUS)-ROW(Legislation!$E$5)+1)),ROWS(B$47:B50))),"")</f>
        <v/>
      </c>
      <c r="C50" s="224" t="str">
        <f t="array" ref="C50">IF(ROWS(C$47:C50)&lt;=$A$49,INDEX(Legislation!$C$5:$C$19,SMALL(IF(STAGE=5,IF(STATUS=1,ROW(STATUS)-ROW(Legislation!$E$5)+1)),ROWS(C$47:C50))),"")</f>
        <v/>
      </c>
      <c r="D50" s="225"/>
      <c r="E50" s="227" t="str">
        <f t="array" ref="E50">IF(ROWS(E$47:E50)&lt;=$D$48,INDEX('Data coll &amp; ax'!$C$5:$C$22,SMALL(IF(datastage=5,IF(datastatus=0,ROW(datastatus)-ROW('Data coll &amp; ax'!$E$5)+1)),ROWS(E$47:E50))),"")</f>
        <v/>
      </c>
      <c r="F50" s="228" t="str">
        <f t="array" ref="F50">IF(ROWS(F$47:F50)&lt;=$D$49,INDEX('Data coll &amp; ax'!$C$5:$C$22,SMALL(IF(datastage=5,IF(datastatus=1,ROW(datastatus)-ROW('Data coll &amp; ax'!$E$5)+1)),ROWS(F$47:F50))),"")</f>
        <v/>
      </c>
      <c r="G50" s="226"/>
      <c r="H50" s="227" t="str">
        <f t="array" ref="H50">IF(ROWS(H$47:H50)&lt;=$G$48,INDEX('Lab dx'!$C$5:$C$15,SMALL(IF(labstage=5,IF(labstatus=0,ROW(labstatus)-ROW('Lab dx'!$E$5)+1)),ROWS(H$47:H50))),"")</f>
        <v/>
      </c>
      <c r="I50" s="228" t="str">
        <f t="array" ref="I50">IF(ROWS(I$47:I50)&lt;=$G$49,INDEX('Lab dx'!$C$5:$C$15,SMALL(IF(labstage=5,IF(labstatus=1,ROW(labstatus)-ROW('Lab dx'!$F$5)+1)),ROWS(I$47:I50))),"")</f>
        <v/>
      </c>
      <c r="J50" s="226"/>
      <c r="K50" s="229" t="str">
        <f t="array" ref="K50">IF(ROWS(K$47:K50)&lt;=$J$48,INDEX(IEC!$C$5:$C$21,SMALL(IF(iecstage=5,IF(iecstatus=0,ROW(iecstatus)-ROW(IEC!$E$5)+1)),ROWS(K$47:K50))),"")</f>
        <v/>
      </c>
      <c r="L50" s="224" t="str">
        <f t="array" ref="L50">IF(ROWS(L$47:L50)&lt;=$J$49,INDEX(IEC!$C$5:$C$21,SMALL(IF(iecstage=5,IF(iecstatus=1,ROW(iecstatus)-ROW(IEC!$E$5)+1)),ROWS(L$47:L50))),"")</f>
        <v/>
      </c>
      <c r="M50" s="230"/>
      <c r="N50" s="227" t="str">
        <f t="array" ref="N50">IF(ROWS(N$47:N50)&lt;=$M$48,INDEX('Prev &amp; Ctrl'!$C$5:$C$29,SMALL(IF(prevstage=5,IF(prevstatus=0,ROW(prevstatus)-ROW('Prev &amp; Ctrl'!$E$5)+1)),ROWS(N$47:N50))),"")</f>
        <v/>
      </c>
      <c r="O50" s="228" t="str">
        <f t="array" ref="O50">IF(ROWS(O$47:O50)&lt;=$M$49,INDEX('Prev &amp; Ctrl'!$C$5:$C$29,SMALL(IF(prevstage=5,IF(prevstatus=1,ROW(prevstatus)-ROW('Prev &amp; Ctrl'!$E$5)+1)),ROWS(O$47:O50))),"")</f>
        <v/>
      </c>
      <c r="P50" s="226"/>
      <c r="Q50" s="229" t="str">
        <f t="array" ref="Q50">IF(ROWS(Q$47:Q50)&lt;=$P$48,INDEX('Dog popn'!$C$5:C53,SMALL(IF(dogstage=5,IF(dogstatus=0,ROW(dogstatus)-ROW('Dog popn'!$E$5)+1)),ROWS(Q$47:Q50))),"")</f>
        <v/>
      </c>
      <c r="R50" s="224" t="str">
        <f t="array" ref="R50">IF(ROWS(R$47:R50)&lt;=$P$49,INDEX('Dog popn'!$C$5:$C$9,SMALL(IF(dogstage=5,IF(dogstatus=1,ROW(dogstatus)-ROW('Dog popn'!$E$5)+1)),ROWS(R$47:R50))),"")</f>
        <v/>
      </c>
      <c r="S50" s="226"/>
      <c r="T50" s="227" t="str">
        <f t="array" ref="T50">IF(ROWS(T$47:T50)&lt;=$S$48,INDEX('Cross-cutting issues'!$C$5:$C$16,SMALL(IF(crossstage=5,IF(crossstatus=0,ROW(crossstatus)-ROW('Cross-cutting issues'!$E$5)+1)),ROWS(T$47:T50))),"")</f>
        <v/>
      </c>
      <c r="U50" s="228" t="str">
        <f t="array" ref="U50">IF(ROWS(U$47:U50)&lt;=$S$49,INDEX('Cross-cutting issues'!$C$5:$C$16,SMALL(IF(crossstage=5,IF(crossstatus=1,ROW(crossstatus)-ROW('Cross-cutting issues'!$E$5)+1)),ROWS(U$47:U50))),"")</f>
        <v/>
      </c>
    </row>
    <row r="51" spans="1:26" s="17" customFormat="1" x14ac:dyDescent="0.25">
      <c r="A51" s="55"/>
      <c r="B51" s="229" t="str">
        <f t="array" ref="B51">IF(ROWS(B$47:B51)&lt;=$A$48,INDEX(Legislation!$C$5:$C$19,SMALL(IF(STAGE=5,IF(STATUS=0,ROW(STATUS)-ROW(Legislation!$E$5)+1)),ROWS(B$47:B51))),"")</f>
        <v/>
      </c>
      <c r="C51" s="224" t="str">
        <f t="array" ref="C51">IF(ROWS(C$47:C51)&lt;=$A$49,INDEX(Legislation!$C$5:$C$19,SMALL(IF(STAGE=5,IF(STATUS=1,ROW(STATUS)-ROW(Legislation!$E$5)+1)),ROWS(C$47:C51))),"")</f>
        <v/>
      </c>
      <c r="D51" s="225"/>
      <c r="E51" s="227" t="str">
        <f t="array" ref="E51">IF(ROWS(E$47:E51)&lt;=$D$48,INDEX('Data coll &amp; ax'!$C$5:$C$22,SMALL(IF(datastage=5,IF(datastatus=0,ROW(datastatus)-ROW('Data coll &amp; ax'!$E$5)+1)),ROWS(E$47:E51))),"")</f>
        <v/>
      </c>
      <c r="F51" s="228" t="str">
        <f t="array" ref="F51">IF(ROWS(F$47:F51)&lt;=$D$49,INDEX('Data coll &amp; ax'!$C$5:$C$22,SMALL(IF(datastage=5,IF(datastatus=1,ROW(datastatus)-ROW('Data coll &amp; ax'!$E$5)+1)),ROWS(F$47:F51))),"")</f>
        <v/>
      </c>
      <c r="G51" s="226"/>
      <c r="H51" s="227" t="str">
        <f t="array" ref="H51">IF(ROWS(H$47:H51)&lt;=$G$48,INDEX('Lab dx'!$C$5:$C$15,SMALL(IF(labstage=5,IF(labstatus=0,ROW(labstatus)-ROW('Lab dx'!$E$5)+1)),ROWS(H$47:H51))),"")</f>
        <v/>
      </c>
      <c r="I51" s="228" t="str">
        <f t="array" ref="I51">IF(ROWS(I$47:I51)&lt;=$G$49,INDEX('Lab dx'!$C$5:$C$15,SMALL(IF(labstage=5,IF(labstatus=1,ROW(labstatus)-ROW('Lab dx'!$F$5)+1)),ROWS(I$47:I51))),"")</f>
        <v/>
      </c>
      <c r="J51" s="226"/>
      <c r="K51" s="229" t="str">
        <f t="array" ref="K51">IF(ROWS(K$47:K51)&lt;=$J$48,INDEX(IEC!$C$5:$C$21,SMALL(IF(iecstage=5,IF(iecstatus=0,ROW(iecstatus)-ROW(IEC!$E$5)+1)),ROWS(K$47:K51))),"")</f>
        <v/>
      </c>
      <c r="L51" s="224" t="str">
        <f t="array" ref="L51">IF(ROWS(L$47:L51)&lt;=$J$49,INDEX(IEC!$C$5:$C$21,SMALL(IF(iecstage=5,IF(iecstatus=1,ROW(iecstatus)-ROW(IEC!$E$5)+1)),ROWS(L$47:L51))),"")</f>
        <v/>
      </c>
      <c r="M51" s="230"/>
      <c r="N51" s="227" t="str">
        <f t="array" ref="N51">IF(ROWS(N$47:N51)&lt;=$M$48,INDEX('Prev &amp; Ctrl'!$C$5:$C$29,SMALL(IF(prevstage=5,IF(prevstatus=0,ROW(prevstatus)-ROW('Prev &amp; Ctrl'!$E$5)+1)),ROWS(N$47:N51))),"")</f>
        <v/>
      </c>
      <c r="O51" s="228" t="str">
        <f t="array" ref="O51">IF(ROWS(O$47:O51)&lt;=$M$49,INDEX('Prev &amp; Ctrl'!$C$5:$C$29,SMALL(IF(prevstage=5,IF(prevstatus=1,ROW(prevstatus)-ROW('Prev &amp; Ctrl'!$E$5)+1)),ROWS(O$47:O51))),"")</f>
        <v/>
      </c>
      <c r="P51" s="226"/>
      <c r="Q51" s="229" t="str">
        <f t="array" ref="Q51">IF(ROWS(Q$47:Q51)&lt;=$P$48,INDEX('Dog popn'!$C$5:C54,SMALL(IF(dogstage=5,IF(dogstatus=0,ROW(dogstatus)-ROW('Dog popn'!$E$5)+1)),ROWS(Q$47:Q51))),"")</f>
        <v/>
      </c>
      <c r="R51" s="224" t="str">
        <f t="array" ref="R51">IF(ROWS(R$47:R51)&lt;=$P$49,INDEX('Dog popn'!$C$5:$C$9,SMALL(IF(dogstage=5,IF(dogstatus=1,ROW(dogstatus)-ROW('Dog popn'!$E$5)+1)),ROWS(R$47:R51))),"")</f>
        <v/>
      </c>
      <c r="S51" s="226"/>
      <c r="T51" s="227" t="str">
        <f t="array" ref="T51">IF(ROWS(T$47:T51)&lt;=$S$48,INDEX('Cross-cutting issues'!$C$5:$C$16,SMALL(IF(crossstage=5,IF(crossstatus=0,ROW(crossstatus)-ROW('Cross-cutting issues'!$E$5)+1)),ROWS(T$47:T51))),"")</f>
        <v/>
      </c>
      <c r="U51" s="228" t="str">
        <f t="array" ref="U51">IF(ROWS(U$47:U51)&lt;=$S$49,INDEX('Cross-cutting issues'!$C$5:$C$16,SMALL(IF(crossstage=5,IF(crossstatus=1,ROW(crossstatus)-ROW('Cross-cutting issues'!$E$5)+1)),ROWS(U$47:U51))),"")</f>
        <v/>
      </c>
    </row>
    <row r="52" spans="1:26" s="17" customFormat="1" x14ac:dyDescent="0.25">
      <c r="A52" s="55"/>
      <c r="B52" s="229" t="str">
        <f t="array" ref="B52">IF(ROWS(B$47:B52)&lt;=$A$48,INDEX(Legislation!$C$5:$C$19,SMALL(IF(STAGE=5,IF(STATUS=0,ROW(STATUS)-ROW(Legislation!$E$5)+1)),ROWS(B$47:B52))),"")</f>
        <v/>
      </c>
      <c r="C52" s="224" t="str">
        <f t="array" ref="C52">IF(ROWS(C$47:C52)&lt;=$A$49,INDEX(Legislation!$C$5:$C$19,SMALL(IF(STAGE=5,IF(STATUS=1,ROW(STATUS)-ROW(Legislation!$E$5)+1)),ROWS(C$47:C52))),"")</f>
        <v/>
      </c>
      <c r="D52" s="225"/>
      <c r="E52" s="227" t="str">
        <f t="array" ref="E52">IF(ROWS(E$47:E52)&lt;=$D$48,INDEX('Data coll &amp; ax'!$C$5:$C$22,SMALL(IF(datastage=5,IF(datastatus=0,ROW(datastatus)-ROW('Data coll &amp; ax'!$E$5)+1)),ROWS(E$47:E52))),"")</f>
        <v/>
      </c>
      <c r="F52" s="228" t="str">
        <f t="array" ref="F52">IF(ROWS(F$47:F52)&lt;=$D$49,INDEX('Data coll &amp; ax'!$C$5:$C$22,SMALL(IF(datastage=5,IF(datastatus=1,ROW(datastatus)-ROW('Data coll &amp; ax'!$E$5)+1)),ROWS(F$47:F52))),"")</f>
        <v/>
      </c>
      <c r="G52" s="226"/>
      <c r="H52" s="227" t="str">
        <f t="array" ref="H52">IF(ROWS(H$47:H52)&lt;=$G$48,INDEX('Lab dx'!$C$5:$C$15,SMALL(IF(labstage=5,IF(labstatus=0,ROW(labstatus)-ROW('Lab dx'!$E$5)+1)),ROWS(H$47:H52))),"")</f>
        <v/>
      </c>
      <c r="I52" s="228" t="str">
        <f t="array" ref="I52">IF(ROWS(I$47:I52)&lt;=$G$49,INDEX('Lab dx'!$C$5:$C$15,SMALL(IF(labstage=5,IF(labstatus=1,ROW(labstatus)-ROW('Lab dx'!$F$5)+1)),ROWS(I$47:I52))),"")</f>
        <v/>
      </c>
      <c r="J52" s="226"/>
      <c r="K52" s="229" t="str">
        <f t="array" ref="K52">IF(ROWS(K$47:K52)&lt;=$J$48,INDEX(IEC!$C$5:$C$21,SMALL(IF(iecstage=5,IF(iecstatus=0,ROW(iecstatus)-ROW(IEC!$E$5)+1)),ROWS(K$47:K52))),"")</f>
        <v/>
      </c>
      <c r="L52" s="224" t="str">
        <f t="array" ref="L52">IF(ROWS(L$47:L52)&lt;=$J$49,INDEX(IEC!$C$5:$C$21,SMALL(IF(iecstage=5,IF(iecstatus=1,ROW(iecstatus)-ROW(IEC!$E$5)+1)),ROWS(L$47:L52))),"")</f>
        <v/>
      </c>
      <c r="M52" s="230"/>
      <c r="N52" s="227" t="str">
        <f t="array" ref="N52">IF(ROWS(N$47:N52)&lt;=$M$48,INDEX('Prev &amp; Ctrl'!$C$5:$C$29,SMALL(IF(prevstage=5,IF(prevstatus=0,ROW(prevstatus)-ROW('Prev &amp; Ctrl'!$E$5)+1)),ROWS(N$47:N52))),"")</f>
        <v/>
      </c>
      <c r="O52" s="228" t="str">
        <f t="array" ref="O52">IF(ROWS(O$47:O52)&lt;=$M$49,INDEX('Prev &amp; Ctrl'!$C$5:$C$29,SMALL(IF(prevstage=5,IF(prevstatus=1,ROW(prevstatus)-ROW('Prev &amp; Ctrl'!$E$5)+1)),ROWS(O$47:O52))),"")</f>
        <v/>
      </c>
      <c r="P52" s="226"/>
      <c r="Q52" s="229" t="str">
        <f t="array" ref="Q52">IF(ROWS(Q$47:Q52)&lt;=$P$48,INDEX('Dog popn'!$C$5:C55,SMALL(IF(dogstage=5,IF(dogstatus=0,ROW(dogstatus)-ROW('Dog popn'!$E$5)+1)),ROWS(Q$47:Q52))),"")</f>
        <v/>
      </c>
      <c r="R52" s="224" t="str">
        <f t="array" ref="R52">IF(ROWS(R$47:R52)&lt;=$P$49,INDEX('Dog popn'!$C$5:$C$9,SMALL(IF(dogstage=5,IF(dogstatus=1,ROW(dogstatus)-ROW('Dog popn'!$E$5)+1)),ROWS(R$47:R52))),"")</f>
        <v/>
      </c>
      <c r="S52" s="226"/>
      <c r="T52" s="227" t="str">
        <f t="array" ref="T52">IF(ROWS(T$47:T52)&lt;=$S$48,INDEX('Cross-cutting issues'!$C$5:$C$16,SMALL(IF(crossstage=5,IF(crossstatus=0,ROW(crossstatus)-ROW('Cross-cutting issues'!$E$5)+1)),ROWS(T$47:T52))),"")</f>
        <v/>
      </c>
      <c r="U52" s="228" t="str">
        <f t="array" ref="U52">IF(ROWS(U$47:U52)&lt;=$S$49,INDEX('Cross-cutting issues'!$C$5:$C$16,SMALL(IF(crossstage=5,IF(crossstatus=1,ROW(crossstatus)-ROW('Cross-cutting issues'!$E$5)+1)),ROWS(U$47:U52))),"")</f>
        <v/>
      </c>
    </row>
    <row r="53" spans="1:26" s="17" customFormat="1" x14ac:dyDescent="0.25">
      <c r="A53" s="55"/>
      <c r="B53" s="229" t="str">
        <f t="array" ref="B53">IF(ROWS(B$47:B53)&lt;=$A$48,INDEX(Legislation!$C$5:$C$19,SMALL(IF(STAGE=5,IF(STATUS=0,ROW(STATUS)-ROW(Legislation!$E$5)+1)),ROWS(B$47:B53))),"")</f>
        <v/>
      </c>
      <c r="C53" s="224" t="str">
        <f t="array" ref="C53">IF(ROWS(C$47:C53)&lt;=$A$49,INDEX(Legislation!$C$5:$C$19,SMALL(IF(STAGE=5,IF(STATUS=1,ROW(STATUS)-ROW(Legislation!$E$5)+1)),ROWS(C$47:C53))),"")</f>
        <v/>
      </c>
      <c r="D53" s="225"/>
      <c r="E53" s="227" t="str">
        <f t="array" ref="E53">IF(ROWS(E$47:E53)&lt;=$D$48,INDEX('Data coll &amp; ax'!$C$5:$C$22,SMALL(IF(datastage=5,IF(datastatus=0,ROW(datastatus)-ROW('Data coll &amp; ax'!$E$5)+1)),ROWS(E$47:E53))),"")</f>
        <v/>
      </c>
      <c r="F53" s="228" t="str">
        <f t="array" ref="F53">IF(ROWS(F$47:F53)&lt;=$D$49,INDEX('Data coll &amp; ax'!$C$5:$C$22,SMALL(IF(datastage=5,IF(datastatus=1,ROW(datastatus)-ROW('Data coll &amp; ax'!$E$5)+1)),ROWS(F$47:F53))),"")</f>
        <v/>
      </c>
      <c r="G53" s="226"/>
      <c r="H53" s="227" t="str">
        <f t="array" ref="H53">IF(ROWS(H$47:H53)&lt;=$G$48,INDEX('Lab dx'!$C$5:$C$15,SMALL(IF(labstage=5,IF(labstatus=0,ROW(labstatus)-ROW('Lab dx'!$E$5)+1)),ROWS(H$47:H53))),"")</f>
        <v/>
      </c>
      <c r="I53" s="228" t="str">
        <f t="array" ref="I53">IF(ROWS(I$47:I53)&lt;=$G$49,INDEX('Lab dx'!$C$5:$C$15,SMALL(IF(labstage=5,IF(labstatus=1,ROW(labstatus)-ROW('Lab dx'!$F$5)+1)),ROWS(I$47:I53))),"")</f>
        <v/>
      </c>
      <c r="J53" s="226"/>
      <c r="K53" s="229" t="str">
        <f t="array" ref="K53">IF(ROWS(K$47:K53)&lt;=$J$48,INDEX(IEC!$C$5:$C$21,SMALL(IF(iecstage=5,IF(iecstatus=0,ROW(iecstatus)-ROW(IEC!$E$5)+1)),ROWS(K$47:K53))),"")</f>
        <v/>
      </c>
      <c r="L53" s="224" t="str">
        <f t="array" ref="L53">IF(ROWS(L$47:L53)&lt;=$J$49,INDEX(IEC!$C$5:$C$21,SMALL(IF(iecstage=5,IF(iecstatus=1,ROW(iecstatus)-ROW(IEC!$E$5)+1)),ROWS(L$47:L53))),"")</f>
        <v/>
      </c>
      <c r="M53" s="230"/>
      <c r="N53" s="227" t="str">
        <f t="array" ref="N53">IF(ROWS(N$47:N53)&lt;=$M$48,INDEX('Prev &amp; Ctrl'!$C$5:$C$29,SMALL(IF(prevstage=5,IF(prevstatus=0,ROW(prevstatus)-ROW('Prev &amp; Ctrl'!$E$5)+1)),ROWS(N$47:N53))),"")</f>
        <v/>
      </c>
      <c r="O53" s="228" t="str">
        <f t="array" ref="O53">IF(ROWS(O$47:O53)&lt;=$M$49,INDEX('Prev &amp; Ctrl'!$C$5:$C$29,SMALL(IF(prevstage=5,IF(prevstatus=1,ROW(prevstatus)-ROW('Prev &amp; Ctrl'!$E$5)+1)),ROWS(O$47:O53))),"")</f>
        <v/>
      </c>
      <c r="P53" s="226"/>
      <c r="Q53" s="229" t="str">
        <f t="array" ref="Q53">IF(ROWS(Q$47:Q53)&lt;=$P$48,INDEX('Dog popn'!$C$5:C56,SMALL(IF(dogstage=5,IF(dogstatus=0,ROW(dogstatus)-ROW('Dog popn'!$E$5)+1)),ROWS(Q$47:Q53))),"")</f>
        <v/>
      </c>
      <c r="R53" s="224" t="str">
        <f t="array" ref="R53">IF(ROWS(R$47:R53)&lt;=$P$49,INDEX('Dog popn'!$C$5:$C$9,SMALL(IF(dogstage=5,IF(dogstatus=1,ROW(dogstatus)-ROW('Dog popn'!$E$5)+1)),ROWS(R$47:R53))),"")</f>
        <v/>
      </c>
      <c r="S53" s="226"/>
      <c r="T53" s="227" t="str">
        <f t="array" ref="T53">IF(ROWS(T$47:T53)&lt;=$S$48,INDEX('Cross-cutting issues'!$C$5:$C$16,SMALL(IF(crossstage=5,IF(crossstatus=0,ROW(crossstatus)-ROW('Cross-cutting issues'!$E$5)+1)),ROWS(T$47:T53))),"")</f>
        <v/>
      </c>
      <c r="U53" s="228" t="str">
        <f t="array" ref="U53">IF(ROWS(U$47:U53)&lt;=$S$49,INDEX('Cross-cutting issues'!$C$5:$C$16,SMALL(IF(crossstage=5,IF(crossstatus=1,ROW(crossstatus)-ROW('Cross-cutting issues'!$E$5)+1)),ROWS(U$47:U53))),"")</f>
        <v/>
      </c>
    </row>
    <row r="54" spans="1:26" s="17" customFormat="1" x14ac:dyDescent="0.25">
      <c r="A54" s="55"/>
      <c r="B54" s="229" t="str">
        <f t="array" ref="B54">IF(ROWS(B$47:B54)&lt;=$A$48,INDEX(Legislation!$C$5:$C$19,SMALL(IF(STAGE=5,IF(STATUS=0,ROW(STATUS)-ROW(Legislation!$E$5)+1)),ROWS(B$47:B54))),"")</f>
        <v/>
      </c>
      <c r="C54" s="224" t="str">
        <f t="array" ref="C54">IF(ROWS(C$47:C54)&lt;=$A$49,INDEX(Legislation!$C$5:$C$19,SMALL(IF(STAGE=5,IF(STATUS=1,ROW(STATUS)-ROW(Legislation!$E$5)+1)),ROWS(C$47:C54))),"")</f>
        <v/>
      </c>
      <c r="D54" s="225"/>
      <c r="E54" s="227" t="str">
        <f t="array" ref="E54">IF(ROWS(E$47:E54)&lt;=$D$48,INDEX('Data coll &amp; ax'!$C$5:$C$22,SMALL(IF(datastage=5,IF(datastatus=0,ROW(datastatus)-ROW('Data coll &amp; ax'!$E$5)+1)),ROWS(E$47:E54))),"")</f>
        <v/>
      </c>
      <c r="F54" s="228" t="str">
        <f t="array" ref="F54">IF(ROWS(F$47:F54)&lt;=$D$49,INDEX('Data coll &amp; ax'!$C$5:$C$22,SMALL(IF(datastage=5,IF(datastatus=1,ROW(datastatus)-ROW('Data coll &amp; ax'!$E$5)+1)),ROWS(F$47:F54))),"")</f>
        <v/>
      </c>
      <c r="G54" s="226"/>
      <c r="H54" s="227" t="str">
        <f t="array" ref="H54">IF(ROWS(H$47:H54)&lt;=$G$48,INDEX('Lab dx'!$C$5:$C$15,SMALL(IF(labstage=5,IF(labstatus=0,ROW(labstatus)-ROW('Lab dx'!$E$5)+1)),ROWS(H$47:H54))),"")</f>
        <v/>
      </c>
      <c r="I54" s="228" t="str">
        <f t="array" ref="I54">IF(ROWS(I$47:I54)&lt;=$G$49,INDEX('Lab dx'!$C$5:$C$15,SMALL(IF(labstage=5,IF(labstatus=1,ROW(labstatus)-ROW('Lab dx'!$F$5)+1)),ROWS(I$47:I54))),"")</f>
        <v/>
      </c>
      <c r="J54" s="226"/>
      <c r="K54" s="229" t="str">
        <f t="array" ref="K54">IF(ROWS(K$47:K54)&lt;=$J$48,INDEX(IEC!$C$5:$C$21,SMALL(IF(iecstage=5,IF(iecstatus=0,ROW(iecstatus)-ROW(IEC!$E$5)+1)),ROWS(K$47:K54))),"")</f>
        <v/>
      </c>
      <c r="L54" s="224" t="str">
        <f t="array" ref="L54">IF(ROWS(L$47:L54)&lt;=$J$49,INDEX(IEC!$C$5:$C$21,SMALL(IF(iecstage=5,IF(iecstatus=1,ROW(iecstatus)-ROW(IEC!$E$5)+1)),ROWS(L$47:L54))),"")</f>
        <v/>
      </c>
      <c r="M54" s="230"/>
      <c r="N54" s="227" t="str">
        <f t="array" ref="N54">IF(ROWS(N$47:N54)&lt;=$M$48,INDEX('Prev &amp; Ctrl'!$C$5:$C$29,SMALL(IF(prevstage=5,IF(prevstatus=0,ROW(prevstatus)-ROW('Prev &amp; Ctrl'!$E$5)+1)),ROWS(N$47:N54))),"")</f>
        <v/>
      </c>
      <c r="O54" s="228" t="str">
        <f t="array" ref="O54">IF(ROWS(O$47:O54)&lt;=$M$49,INDEX('Prev &amp; Ctrl'!$C$5:$C$29,SMALL(IF(prevstage=5,IF(prevstatus=1,ROW(prevstatus)-ROW('Prev &amp; Ctrl'!$E$5)+1)),ROWS(O$47:O54))),"")</f>
        <v/>
      </c>
      <c r="P54" s="226"/>
      <c r="Q54" s="229" t="str">
        <f t="array" ref="Q54">IF(ROWS(Q$47:Q54)&lt;=$P$48,INDEX('Dog popn'!$C$5:C57,SMALL(IF(dogstage=5,IF(dogstatus=0,ROW(dogstatus)-ROW('Dog popn'!$E$5)+1)),ROWS(Q$47:Q54))),"")</f>
        <v/>
      </c>
      <c r="R54" s="224" t="str">
        <f t="array" ref="R54">IF(ROWS(R$47:R54)&lt;=$P$49,INDEX('Dog popn'!$C$5:$C$9,SMALL(IF(dogstage=5,IF(dogstatus=1,ROW(dogstatus)-ROW('Dog popn'!$E$5)+1)),ROWS(R$47:R54))),"")</f>
        <v/>
      </c>
      <c r="S54" s="226"/>
      <c r="T54" s="227" t="str">
        <f t="array" ref="T54">IF(ROWS(T$47:T54)&lt;=$S$48,INDEX('Cross-cutting issues'!$C$5:$C$16,SMALL(IF(crossstage=5,IF(crossstatus=0,ROW(crossstatus)-ROW('Cross-cutting issues'!$E$5)+1)),ROWS(T$47:T54))),"")</f>
        <v/>
      </c>
      <c r="U54" s="228" t="str">
        <f t="array" ref="U54">IF(ROWS(U$47:U54)&lt;=$S$49,INDEX('Cross-cutting issues'!$C$5:$C$16,SMALL(IF(crossstage=5,IF(crossstatus=1,ROW(crossstatus)-ROW('Cross-cutting issues'!$E$5)+1)),ROWS(U$47:U54))),"")</f>
        <v/>
      </c>
    </row>
    <row r="55" spans="1:26" s="17" customFormat="1" x14ac:dyDescent="0.25">
      <c r="A55" s="56"/>
      <c r="B55" s="231" t="str">
        <f t="array" ref="B55">IF(ROWS(B$47:B55)&lt;=$A$48,INDEX(Legislation!$C$5:$C$19,SMALL(IF(STAGE=5,IF(STATUS=0,ROW(STATUS)-ROW(Legislation!$E$5)+1)),ROWS(B$47:B55))),"")</f>
        <v/>
      </c>
      <c r="C55" s="232" t="str">
        <f t="array" ref="C55">IF(ROWS(C$47:C55)&lt;=$A$49,INDEX(Legislation!$C$5:$C$19,SMALL(IF(STAGE=5,IF(STATUS=1,ROW(STATUS)-ROW(Legislation!$E$5)+1)),ROWS(C$47:C55))),"")</f>
        <v/>
      </c>
      <c r="D55" s="233"/>
      <c r="E55" s="235" t="str">
        <f t="array" ref="E55">IF(ROWS(E$47:E55)&lt;=$D$48,INDEX('Data coll &amp; ax'!$C$5:$C$22,SMALL(IF(datastage=5,IF(datastatus=0,ROW(datastatus)-ROW('Data coll &amp; ax'!$E$5)+1)),ROWS(E$47:E55))),"")</f>
        <v/>
      </c>
      <c r="F55" s="236" t="str">
        <f t="array" ref="F55">IF(ROWS(F$47:F55)&lt;=$D$49,INDEX('Data coll &amp; ax'!$C$5:$C$22,SMALL(IF(datastage=5,IF(datastatus=1,ROW(datastatus)-ROW('Data coll &amp; ax'!$E$5)+1)),ROWS(F$47:F55))),"")</f>
        <v/>
      </c>
      <c r="G55" s="234"/>
      <c r="H55" s="235" t="str">
        <f t="array" ref="H55">IF(ROWS(H$47:H55)&lt;=$G$48,INDEX('Lab dx'!$C$5:$C$15,SMALL(IF(labstage=5,IF(labstatus=0,ROW(labstatus)-ROW('Lab dx'!$E$5)+1)),ROWS(H$47:H55))),"")</f>
        <v/>
      </c>
      <c r="I55" s="236" t="str">
        <f t="array" ref="I55">IF(ROWS(I$47:I55)&lt;=$G$49,INDEX('Lab dx'!$C$5:$C$15,SMALL(IF(labstage=5,IF(labstatus=1,ROW(labstatus)-ROW('Lab dx'!$F$5)+1)),ROWS(I$47:I55))),"")</f>
        <v/>
      </c>
      <c r="J55" s="234"/>
      <c r="K55" s="231" t="str">
        <f t="array" ref="K55">IF(ROWS(K$47:K55)&lt;=$J$48,INDEX(IEC!$C$5:$C$21,SMALL(IF(iecstage=5,IF(iecstatus=0,ROW(iecstatus)-ROW(IEC!$E$5)+1)),ROWS(K$47:K55))),"")</f>
        <v/>
      </c>
      <c r="L55" s="232" t="str">
        <f t="array" ref="L55">IF(ROWS(L$47:L55)&lt;=$J$49,INDEX(IEC!$C$5:$C$21,SMALL(IF(iecstage=5,IF(iecstatus=1,ROW(iecstatus)-ROW(IEC!$E$5)+1)),ROWS(L$47:L55))),"")</f>
        <v/>
      </c>
      <c r="M55" s="237"/>
      <c r="N55" s="235" t="str">
        <f t="array" ref="N55">IF(ROWS(N$47:N55)&lt;=$M$48,INDEX('Prev &amp; Ctrl'!$C$5:$C$29,SMALL(IF(prevstage=5,IF(prevstatus=0,ROW(prevstatus)-ROW('Prev &amp; Ctrl'!$E$5)+1)),ROWS(N$47:N55))),"")</f>
        <v/>
      </c>
      <c r="O55" s="236" t="str">
        <f t="array" ref="O55">IF(ROWS(O$47:O55)&lt;=$M$49,INDEX('Prev &amp; Ctrl'!$C$5:$C$29,SMALL(IF(prevstage=5,IF(prevstatus=1,ROW(prevstatus)-ROW('Prev &amp; Ctrl'!$E$5)+1)),ROWS(O$47:O55))),"")</f>
        <v/>
      </c>
      <c r="P55" s="234"/>
      <c r="Q55" s="231" t="str">
        <f t="array" ref="Q55">IF(ROWS(Q$47:Q55)&lt;=$P$48,INDEX('Dog popn'!$C$5:C58,SMALL(IF(dogstage=5,IF(dogstatus=0,ROW(dogstatus)-ROW('Dog popn'!$E$5)+1)),ROWS(Q$47:Q55))),"")</f>
        <v/>
      </c>
      <c r="R55" s="232" t="str">
        <f t="array" ref="R55">IF(ROWS(R$47:R55)&lt;=$P$49,INDEX('Dog popn'!$C$5:$C$9,SMALL(IF(dogstage=5,IF(dogstatus=1,ROW(dogstatus)-ROW('Dog popn'!$E$5)+1)),ROWS(R$47:R55))),"")</f>
        <v/>
      </c>
      <c r="S55" s="234"/>
      <c r="T55" s="235" t="str">
        <f t="array" ref="T55">IF(ROWS(T$47:T55)&lt;=$S$48,INDEX('Cross-cutting issues'!$C$5:$C$16,SMALL(IF(crossstage=5,IF(crossstatus=0,ROW(crossstatus)-ROW('Cross-cutting issues'!$E$5)+1)),ROWS(T$47:T55))),"")</f>
        <v/>
      </c>
      <c r="U55" s="236" t="str">
        <f t="array" ref="U55">IF(ROWS(U$47:U55)&lt;=$S$49,INDEX('Cross-cutting issues'!$C$5:$C$16,SMALL(IF(crossstage=5,IF(crossstatus=1,ROW(crossstatus)-ROW('Cross-cutting issues'!$E$5)+1)),ROWS(U$47:U55))),"")</f>
        <v/>
      </c>
    </row>
  </sheetData>
  <sheetProtection algorithmName="SHA-512" hashValue="M56LcH7SP/GZ4uB8vqrFEgh+Hz7WeoBwm6QFQPEttehO65rgm3OYD2akUlkVH/yIljvugdorv4IzS1GZcr48cg==" saltValue="tEYkBy5VS46fcjmCx4Lb3g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B48939E6-E29B-42E1-863D-92D644F21EA9}">
            <xm:f>COUNTIF('key activities'!$C$2:$C$45,$B6)&lt;&gt;0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m:sqref>B6:B55</xm:sqref>
        </x14:conditionalFormatting>
        <x14:conditionalFormatting xmlns:xm="http://schemas.microsoft.com/office/excel/2006/main">
          <x14:cfRule type="expression" priority="13" id="{F493C891-9CD9-419F-B162-CA20AC543B40}">
            <xm:f>COUNTIF('key activities'!$C$2:$C$45,$E6)&lt;&gt;0</xm:f>
            <x14:dxf>
              <fill>
                <patternFill>
                  <bgColor rgb="FFFFFF00"/>
                </patternFill>
              </fill>
            </x14:dxf>
          </x14:cfRule>
          <xm:sqref>E6:E55</xm:sqref>
        </x14:conditionalFormatting>
        <x14:conditionalFormatting xmlns:xm="http://schemas.microsoft.com/office/excel/2006/main">
          <x14:cfRule type="expression" priority="12" id="{8347937B-2EE4-42C8-921A-EE2EBF61D512}">
            <xm:f>COUNTIF('key activities'!$C$2:$C$45,$H6)&lt;&gt;0</xm:f>
            <x14:dxf>
              <fill>
                <patternFill>
                  <bgColor rgb="FFFFFF00"/>
                </patternFill>
              </fill>
            </x14:dxf>
          </x14:cfRule>
          <xm:sqref>H6:H55</xm:sqref>
        </x14:conditionalFormatting>
        <x14:conditionalFormatting xmlns:xm="http://schemas.microsoft.com/office/excel/2006/main">
          <x14:cfRule type="expression" priority="11" id="{D6158F7C-A77B-4932-9BAE-645A32785CA5}">
            <xm:f>COUNTIF('key activities'!$C$2:$C$45,$K6)&lt;&gt;0</xm:f>
            <x14:dxf>
              <fill>
                <patternFill>
                  <bgColor rgb="FFFFFF00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10" id="{52A418EC-7010-438C-9C74-701CF6D6F952}">
            <xm:f>COUNTIF('key activities'!$C$2:$C$45,$N6)&lt;&gt;0</xm:f>
            <x14:dxf>
              <fill>
                <patternFill>
                  <bgColor rgb="FFFFFF00"/>
                </patternFill>
              </fill>
            </x14:dxf>
          </x14:cfRule>
          <xm:sqref>N6:N55</xm:sqref>
        </x14:conditionalFormatting>
        <x14:conditionalFormatting xmlns:xm="http://schemas.microsoft.com/office/excel/2006/main">
          <x14:cfRule type="expression" priority="8" id="{C47BAD5A-FFAD-44C1-AF78-A70DA66B37D7}">
            <xm:f>COUNTIF('key activities'!$C$2:$C$45,$T6)&lt;&gt;0</xm:f>
            <x14:dxf>
              <fill>
                <patternFill>
                  <bgColor rgb="FFFFFF00"/>
                </patternFill>
              </fill>
            </x14:dxf>
          </x14:cfRule>
          <xm:sqref>T6:T55</xm:sqref>
        </x14:conditionalFormatting>
        <x14:conditionalFormatting xmlns:xm="http://schemas.microsoft.com/office/excel/2006/main">
          <x14:cfRule type="expression" priority="41" id="{F63E28F3-3AD7-4B94-8611-49CA0EB2852C}">
            <xm:f>COUNTIF('key activities'!$C$2:$C$45,$Q6)&lt;&gt;0</xm:f>
            <x14:dxf>
              <fill>
                <patternFill>
                  <bgColor rgb="FFFFFF00"/>
                </patternFill>
              </fill>
            </x14:dxf>
          </x14:cfRule>
          <xm:sqref>Q6:Q55</xm:sqref>
        </x14:conditionalFormatting>
        <x14:conditionalFormatting xmlns:xm="http://schemas.microsoft.com/office/excel/2006/main">
          <x14:cfRule type="expression" priority="42" id="{A10418DD-117A-49EE-BC73-0CBC2EA91583}">
            <xm:f>COUNTIF('key activities'!$C$2:$C$45,$C6)&lt;&gt;0</xm:f>
            <x14:dxf>
              <fill>
                <patternFill>
                  <bgColor rgb="FF92D050"/>
                </patternFill>
              </fill>
            </x14:dxf>
          </x14:cfRule>
          <xm:sqref>C6:C55</xm:sqref>
        </x14:conditionalFormatting>
        <x14:conditionalFormatting xmlns:xm="http://schemas.microsoft.com/office/excel/2006/main">
          <x14:cfRule type="expression" priority="43" id="{63E28D58-9830-4026-ADB0-DD57607532EE}">
            <xm:f>COUNTIF('key activities'!$C$2:$C$45,$F6)&lt;&gt;0</xm:f>
            <x14:dxf>
              <fill>
                <patternFill>
                  <bgColor rgb="FF92D050"/>
                </patternFill>
              </fill>
            </x14:dxf>
          </x14:cfRule>
          <xm:sqref>F6:F55</xm:sqref>
        </x14:conditionalFormatting>
        <x14:conditionalFormatting xmlns:xm="http://schemas.microsoft.com/office/excel/2006/main">
          <x14:cfRule type="expression" priority="44" id="{3A37E592-D78F-4728-B1DE-FEB4E652D756}">
            <xm:f>COUNTIF('key activities'!$C$2:$C$45,$I6)&lt;&gt;0</xm:f>
            <x14:dxf>
              <fill>
                <patternFill>
                  <bgColor rgb="FF92D050"/>
                </patternFill>
              </fill>
            </x14:dxf>
          </x14:cfRule>
          <xm:sqref>I6:I55</xm:sqref>
        </x14:conditionalFormatting>
        <x14:conditionalFormatting xmlns:xm="http://schemas.microsoft.com/office/excel/2006/main">
          <x14:cfRule type="expression" priority="45" id="{13941480-0573-44AE-BB53-976459CF6C7F}">
            <xm:f>COUNTIF('key activities'!$C$2:$C$45,$L6)&lt;&gt;0</xm:f>
            <x14:dxf>
              <fill>
                <patternFill>
                  <bgColor rgb="FF92D050"/>
                </patternFill>
              </fill>
            </x14:dxf>
          </x14:cfRule>
          <xm:sqref>L6:L55</xm:sqref>
        </x14:conditionalFormatting>
        <x14:conditionalFormatting xmlns:xm="http://schemas.microsoft.com/office/excel/2006/main">
          <x14:cfRule type="expression" priority="46" id="{E75A0758-CDBD-4457-91C6-F51BBF08E267}">
            <xm:f>COUNTIF('key activities'!$C$2:$C$45,$O6)&lt;&gt;0</xm:f>
            <x14:dxf>
              <fill>
                <patternFill>
                  <bgColor rgb="FF92D050"/>
                </patternFill>
              </fill>
            </x14:dxf>
          </x14:cfRule>
          <xm:sqref>O6:O55</xm:sqref>
        </x14:conditionalFormatting>
        <x14:conditionalFormatting xmlns:xm="http://schemas.microsoft.com/office/excel/2006/main">
          <x14:cfRule type="expression" priority="47" id="{CB5345D4-5AAE-4F1D-BB5B-036D3F7B6160}">
            <xm:f>COUNTIF('key activities'!$C$2:$C$45,$R6)&lt;&gt;0</xm:f>
            <x14:dxf>
              <fill>
                <patternFill>
                  <bgColor rgb="FF92D050"/>
                </patternFill>
              </fill>
            </x14:dxf>
          </x14:cfRule>
          <xm:sqref>R6:R55</xm:sqref>
        </x14:conditionalFormatting>
        <x14:conditionalFormatting xmlns:xm="http://schemas.microsoft.com/office/excel/2006/main">
          <x14:cfRule type="expression" priority="48" id="{1F21269E-0177-4F23-97DC-3D94DADB22A6}">
            <xm:f>COUNTIF('key activities'!$C$2:$C$45,$U6)&lt;&gt;0</xm:f>
            <x14:dxf>
              <fill>
                <patternFill>
                  <bgColor rgb="FF92D050"/>
                </patternFill>
              </fill>
            </x14:dxf>
          </x14:cfRule>
          <xm:sqref>U6:U55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0"/>
  <sheetViews>
    <sheetView workbookViewId="0">
      <selection activeCell="B13" sqref="B13"/>
    </sheetView>
  </sheetViews>
  <sheetFormatPr defaultColWidth="8.85546875" defaultRowHeight="15" x14ac:dyDescent="0.25"/>
  <cols>
    <col min="2" max="2" width="74" bestFit="1" customWidth="1"/>
  </cols>
  <sheetData>
    <row r="1" spans="1:2" x14ac:dyDescent="0.25">
      <c r="A1" t="s">
        <v>457</v>
      </c>
    </row>
    <row r="3" spans="1:2" x14ac:dyDescent="0.25">
      <c r="A3" s="130" t="s">
        <v>459</v>
      </c>
      <c r="B3" s="134" t="s">
        <v>458</v>
      </c>
    </row>
    <row r="4" spans="1:2" x14ac:dyDescent="0.25">
      <c r="A4" s="131" t="s">
        <v>463</v>
      </c>
      <c r="B4" s="135" t="s">
        <v>460</v>
      </c>
    </row>
    <row r="5" spans="1:2" x14ac:dyDescent="0.25">
      <c r="A5" s="132" t="s">
        <v>462</v>
      </c>
      <c r="B5" s="136" t="s">
        <v>489</v>
      </c>
    </row>
    <row r="6" spans="1:2" x14ac:dyDescent="0.25">
      <c r="A6" s="132" t="s">
        <v>462</v>
      </c>
      <c r="B6" s="136" t="s">
        <v>461</v>
      </c>
    </row>
    <row r="7" spans="1:2" x14ac:dyDescent="0.25">
      <c r="A7" s="132" t="s">
        <v>464</v>
      </c>
      <c r="B7" s="136" t="s">
        <v>466</v>
      </c>
    </row>
    <row r="8" spans="1:2" x14ac:dyDescent="0.25">
      <c r="A8" s="133" t="s">
        <v>464</v>
      </c>
      <c r="B8" s="137" t="s">
        <v>465</v>
      </c>
    </row>
    <row r="9" spans="1:2" x14ac:dyDescent="0.25">
      <c r="A9" s="64"/>
    </row>
    <row r="10" spans="1:2" x14ac:dyDescent="0.25">
      <c r="A10" s="6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83"/>
  <sheetViews>
    <sheetView topLeftCell="A16" workbookViewId="0">
      <selection activeCell="C30" sqref="C30"/>
    </sheetView>
  </sheetViews>
  <sheetFormatPr defaultColWidth="8.85546875" defaultRowHeight="12.75" x14ac:dyDescent="0.2"/>
  <cols>
    <col min="1" max="1" width="13.140625" style="105" bestFit="1" customWidth="1"/>
    <col min="2" max="2" width="21.140625" style="105" bestFit="1" customWidth="1"/>
    <col min="3" max="3" width="144" style="105" bestFit="1" customWidth="1"/>
    <col min="4" max="16384" width="8.85546875" style="105"/>
  </cols>
  <sheetData>
    <row r="1" spans="1:4" ht="15" x14ac:dyDescent="0.25">
      <c r="A1" s="10" t="s">
        <v>0</v>
      </c>
      <c r="B1" s="10" t="s">
        <v>333</v>
      </c>
      <c r="C1" s="111" t="s">
        <v>334</v>
      </c>
    </row>
    <row r="2" spans="1:4" x14ac:dyDescent="0.2">
      <c r="A2" s="105">
        <v>1</v>
      </c>
      <c r="B2" s="106" t="s">
        <v>437</v>
      </c>
      <c r="C2" s="106" t="s">
        <v>369</v>
      </c>
    </row>
    <row r="3" spans="1:4" x14ac:dyDescent="0.2">
      <c r="A3" s="105">
        <v>1</v>
      </c>
      <c r="B3" s="106" t="s">
        <v>437</v>
      </c>
      <c r="C3" s="106" t="s">
        <v>368</v>
      </c>
    </row>
    <row r="4" spans="1:4" x14ac:dyDescent="0.2">
      <c r="A4" s="105">
        <v>2</v>
      </c>
      <c r="B4" s="106" t="s">
        <v>437</v>
      </c>
      <c r="C4" s="106" t="s">
        <v>389</v>
      </c>
    </row>
    <row r="5" spans="1:4" x14ac:dyDescent="0.2">
      <c r="A5" s="105">
        <v>2</v>
      </c>
      <c r="B5" s="106" t="s">
        <v>437</v>
      </c>
      <c r="C5" s="106" t="s">
        <v>390</v>
      </c>
    </row>
    <row r="6" spans="1:4" x14ac:dyDescent="0.2">
      <c r="A6" s="105">
        <v>1</v>
      </c>
      <c r="B6" s="106" t="s">
        <v>436</v>
      </c>
      <c r="C6" s="106" t="s">
        <v>353</v>
      </c>
    </row>
    <row r="7" spans="1:4" x14ac:dyDescent="0.2">
      <c r="A7" s="105">
        <v>1</v>
      </c>
      <c r="B7" s="106" t="s">
        <v>436</v>
      </c>
      <c r="C7" s="106" t="s">
        <v>354</v>
      </c>
    </row>
    <row r="8" spans="1:4" x14ac:dyDescent="0.2">
      <c r="A8" s="105">
        <v>2</v>
      </c>
      <c r="B8" s="106" t="s">
        <v>436</v>
      </c>
      <c r="C8" s="106" t="s">
        <v>376</v>
      </c>
    </row>
    <row r="9" spans="1:4" x14ac:dyDescent="0.2">
      <c r="A9" s="105">
        <v>3</v>
      </c>
      <c r="B9" s="106" t="s">
        <v>436</v>
      </c>
      <c r="C9" s="106" t="s">
        <v>394</v>
      </c>
    </row>
    <row r="10" spans="1:4" x14ac:dyDescent="0.2">
      <c r="A10" s="105">
        <v>3</v>
      </c>
      <c r="B10" s="106" t="s">
        <v>436</v>
      </c>
      <c r="C10" s="106" t="s">
        <v>395</v>
      </c>
    </row>
    <row r="11" spans="1:4" x14ac:dyDescent="0.2">
      <c r="A11" s="105">
        <v>3</v>
      </c>
      <c r="B11" s="106" t="s">
        <v>436</v>
      </c>
      <c r="C11" s="106" t="s">
        <v>396</v>
      </c>
    </row>
    <row r="12" spans="1:4" x14ac:dyDescent="0.2">
      <c r="A12" s="105">
        <v>4</v>
      </c>
      <c r="B12" s="106" t="s">
        <v>436</v>
      </c>
      <c r="C12" s="106" t="s">
        <v>411</v>
      </c>
    </row>
    <row r="13" spans="1:4" x14ac:dyDescent="0.2">
      <c r="A13" s="105">
        <v>4</v>
      </c>
      <c r="B13" s="106" t="s">
        <v>436</v>
      </c>
      <c r="C13" s="106" t="s">
        <v>412</v>
      </c>
    </row>
    <row r="14" spans="1:4" x14ac:dyDescent="0.2">
      <c r="A14" s="105">
        <v>5</v>
      </c>
      <c r="B14" s="106" t="s">
        <v>436</v>
      </c>
      <c r="C14" s="109" t="s">
        <v>419</v>
      </c>
      <c r="D14" s="215"/>
    </row>
    <row r="15" spans="1:4" x14ac:dyDescent="0.2">
      <c r="A15" s="105">
        <v>1</v>
      </c>
      <c r="B15" s="250" t="s">
        <v>335</v>
      </c>
      <c r="C15" s="249" t="s">
        <v>439</v>
      </c>
    </row>
    <row r="16" spans="1:4" x14ac:dyDescent="0.2">
      <c r="A16" s="105">
        <v>2</v>
      </c>
      <c r="B16" s="106" t="s">
        <v>335</v>
      </c>
      <c r="C16" s="106" t="s">
        <v>387</v>
      </c>
    </row>
    <row r="17" spans="1:3" x14ac:dyDescent="0.2">
      <c r="A17" s="105">
        <v>3</v>
      </c>
      <c r="B17" s="106" t="s">
        <v>335</v>
      </c>
      <c r="C17" s="106" t="s">
        <v>405</v>
      </c>
    </row>
    <row r="18" spans="1:3" x14ac:dyDescent="0.2">
      <c r="A18" s="105">
        <v>3</v>
      </c>
      <c r="B18" s="106" t="s">
        <v>335</v>
      </c>
      <c r="C18" s="106" t="s">
        <v>408</v>
      </c>
    </row>
    <row r="19" spans="1:3" x14ac:dyDescent="0.2">
      <c r="A19" s="105">
        <v>5</v>
      </c>
      <c r="B19" s="106" t="s">
        <v>445</v>
      </c>
      <c r="C19" s="109" t="s">
        <v>443</v>
      </c>
    </row>
    <row r="20" spans="1:3" x14ac:dyDescent="0.2">
      <c r="A20" s="105">
        <v>0</v>
      </c>
      <c r="B20" s="106" t="s">
        <v>435</v>
      </c>
      <c r="C20" s="106" t="s">
        <v>342</v>
      </c>
    </row>
    <row r="21" spans="1:3" x14ac:dyDescent="0.2">
      <c r="A21" s="105">
        <v>0</v>
      </c>
      <c r="B21" s="106" t="s">
        <v>435</v>
      </c>
      <c r="C21" s="106" t="s">
        <v>344</v>
      </c>
    </row>
    <row r="22" spans="1:3" x14ac:dyDescent="0.2">
      <c r="A22" s="105">
        <v>0</v>
      </c>
      <c r="B22" s="106" t="s">
        <v>435</v>
      </c>
      <c r="C22" s="106" t="s">
        <v>343</v>
      </c>
    </row>
    <row r="23" spans="1:3" x14ac:dyDescent="0.2">
      <c r="A23" s="105">
        <v>1</v>
      </c>
      <c r="B23" s="250" t="s">
        <v>435</v>
      </c>
      <c r="C23" s="249" t="s">
        <v>440</v>
      </c>
    </row>
    <row r="24" spans="1:3" x14ac:dyDescent="0.2">
      <c r="A24" s="105">
        <v>4</v>
      </c>
      <c r="B24" s="106" t="s">
        <v>435</v>
      </c>
      <c r="C24" s="106" t="s">
        <v>410</v>
      </c>
    </row>
    <row r="25" spans="1:3" x14ac:dyDescent="0.2">
      <c r="A25" s="105">
        <v>5</v>
      </c>
      <c r="B25" s="106" t="s">
        <v>435</v>
      </c>
      <c r="C25" s="109" t="s">
        <v>420</v>
      </c>
    </row>
    <row r="26" spans="1:3" x14ac:dyDescent="0.2">
      <c r="A26" s="105">
        <v>0</v>
      </c>
      <c r="B26" s="106" t="s">
        <v>434</v>
      </c>
      <c r="C26" s="106" t="s">
        <v>345</v>
      </c>
    </row>
    <row r="27" spans="1:3" x14ac:dyDescent="0.2">
      <c r="A27" s="105">
        <v>1</v>
      </c>
      <c r="B27" s="106" t="s">
        <v>434</v>
      </c>
      <c r="C27" s="106" t="s">
        <v>349</v>
      </c>
    </row>
    <row r="28" spans="1:3" x14ac:dyDescent="0.2">
      <c r="A28" s="105">
        <v>1</v>
      </c>
      <c r="B28" s="106" t="s">
        <v>434</v>
      </c>
      <c r="C28" s="106" t="s">
        <v>350</v>
      </c>
    </row>
    <row r="29" spans="1:3" x14ac:dyDescent="0.2">
      <c r="A29" s="105">
        <v>2</v>
      </c>
      <c r="B29" s="108" t="s">
        <v>434</v>
      </c>
      <c r="C29" s="106" t="s">
        <v>372</v>
      </c>
    </row>
    <row r="30" spans="1:3" x14ac:dyDescent="0.2">
      <c r="A30" s="105">
        <v>4</v>
      </c>
      <c r="B30" s="106" t="s">
        <v>493</v>
      </c>
      <c r="C30" s="106" t="s">
        <v>417</v>
      </c>
    </row>
    <row r="31" spans="1:3" x14ac:dyDescent="0.2">
      <c r="A31" s="105">
        <v>1</v>
      </c>
      <c r="B31" s="106" t="s">
        <v>438</v>
      </c>
      <c r="C31" s="106" t="s">
        <v>365</v>
      </c>
    </row>
    <row r="32" spans="1:3" x14ac:dyDescent="0.2">
      <c r="A32" s="105">
        <v>1</v>
      </c>
      <c r="B32" s="106" t="s">
        <v>438</v>
      </c>
      <c r="C32" s="106" t="s">
        <v>362</v>
      </c>
    </row>
    <row r="33" spans="1:3" x14ac:dyDescent="0.2">
      <c r="A33" s="105">
        <v>2</v>
      </c>
      <c r="B33" s="106" t="s">
        <v>438</v>
      </c>
      <c r="C33" s="106" t="s">
        <v>379</v>
      </c>
    </row>
    <row r="34" spans="1:3" x14ac:dyDescent="0.2">
      <c r="A34" s="105">
        <v>2</v>
      </c>
      <c r="B34" s="106" t="s">
        <v>438</v>
      </c>
      <c r="C34" s="106" t="s">
        <v>380</v>
      </c>
    </row>
    <row r="35" spans="1:3" x14ac:dyDescent="0.2">
      <c r="A35" s="105">
        <v>2</v>
      </c>
      <c r="B35" s="106" t="s">
        <v>438</v>
      </c>
      <c r="C35" s="106" t="s">
        <v>16</v>
      </c>
    </row>
    <row r="36" spans="1:3" x14ac:dyDescent="0.2">
      <c r="A36" s="105">
        <v>3</v>
      </c>
      <c r="B36" s="106" t="s">
        <v>438</v>
      </c>
      <c r="C36" s="106" t="s">
        <v>399</v>
      </c>
    </row>
    <row r="37" spans="1:3" x14ac:dyDescent="0.2">
      <c r="A37" s="105">
        <v>3</v>
      </c>
      <c r="B37" s="106" t="s">
        <v>438</v>
      </c>
      <c r="C37" s="106" t="s">
        <v>402</v>
      </c>
    </row>
    <row r="38" spans="1:3" x14ac:dyDescent="0.2">
      <c r="A38" s="105">
        <v>3</v>
      </c>
      <c r="B38" s="106" t="s">
        <v>438</v>
      </c>
      <c r="C38" s="106" t="s">
        <v>403</v>
      </c>
    </row>
    <row r="39" spans="1:3" x14ac:dyDescent="0.2">
      <c r="A39" s="105">
        <v>3</v>
      </c>
      <c r="B39" s="106" t="s">
        <v>438</v>
      </c>
      <c r="C39" s="106" t="s">
        <v>404</v>
      </c>
    </row>
    <row r="40" spans="1:3" x14ac:dyDescent="0.2">
      <c r="A40" s="105">
        <v>4</v>
      </c>
      <c r="B40" s="106" t="s">
        <v>438</v>
      </c>
      <c r="C40" s="106" t="s">
        <v>413</v>
      </c>
    </row>
    <row r="41" spans="1:3" x14ac:dyDescent="0.2">
      <c r="A41" s="105">
        <v>4</v>
      </c>
      <c r="B41" s="106" t="s">
        <v>438</v>
      </c>
      <c r="C41" s="106" t="s">
        <v>414</v>
      </c>
    </row>
    <row r="42" spans="1:3" x14ac:dyDescent="0.2">
      <c r="A42" s="105">
        <v>4</v>
      </c>
      <c r="B42" s="106" t="s">
        <v>438</v>
      </c>
      <c r="C42" s="106" t="s">
        <v>416</v>
      </c>
    </row>
    <row r="43" spans="1:3" x14ac:dyDescent="0.2">
      <c r="A43" s="105">
        <v>5</v>
      </c>
      <c r="B43" s="106" t="s">
        <v>438</v>
      </c>
      <c r="C43" s="109" t="s">
        <v>423</v>
      </c>
    </row>
    <row r="44" spans="1:3" x14ac:dyDescent="0.2">
      <c r="A44" s="105">
        <v>5</v>
      </c>
      <c r="B44" s="106" t="s">
        <v>438</v>
      </c>
      <c r="C44" s="109" t="s">
        <v>444</v>
      </c>
    </row>
    <row r="45" spans="1:3" x14ac:dyDescent="0.2">
      <c r="A45" s="105">
        <v>5</v>
      </c>
      <c r="B45" s="106" t="s">
        <v>438</v>
      </c>
      <c r="C45" s="109" t="s">
        <v>17</v>
      </c>
    </row>
    <row r="51" spans="1:3" ht="15" x14ac:dyDescent="0.25">
      <c r="A51" s="117" t="s">
        <v>453</v>
      </c>
      <c r="B51" t="s">
        <v>492</v>
      </c>
      <c r="C51"/>
    </row>
    <row r="52" spans="1:3" ht="15" x14ac:dyDescent="0.25">
      <c r="A52" s="99">
        <v>0</v>
      </c>
      <c r="B52" s="118">
        <v>4</v>
      </c>
      <c r="C52"/>
    </row>
    <row r="53" spans="1:3" ht="15" x14ac:dyDescent="0.25">
      <c r="A53" s="99">
        <v>1</v>
      </c>
      <c r="B53" s="118">
        <v>10</v>
      </c>
      <c r="C53"/>
    </row>
    <row r="54" spans="1:3" ht="15" x14ac:dyDescent="0.25">
      <c r="A54" s="99">
        <v>2</v>
      </c>
      <c r="B54" s="118">
        <v>8</v>
      </c>
      <c r="C54"/>
    </row>
    <row r="55" spans="1:3" ht="15" x14ac:dyDescent="0.25">
      <c r="A55" s="99">
        <v>3</v>
      </c>
      <c r="B55" s="118">
        <v>9</v>
      </c>
      <c r="C55"/>
    </row>
    <row r="56" spans="1:3" ht="15" x14ac:dyDescent="0.25">
      <c r="A56" s="99">
        <v>4</v>
      </c>
      <c r="B56" s="118">
        <v>7</v>
      </c>
      <c r="C56"/>
    </row>
    <row r="57" spans="1:3" ht="15" x14ac:dyDescent="0.25">
      <c r="A57" s="99">
        <v>5</v>
      </c>
      <c r="B57" s="118">
        <v>7</v>
      </c>
      <c r="C57"/>
    </row>
    <row r="58" spans="1:3" ht="15" x14ac:dyDescent="0.25">
      <c r="A58" s="99" t="s">
        <v>454</v>
      </c>
      <c r="B58" s="118">
        <v>45</v>
      </c>
      <c r="C58"/>
    </row>
    <row r="59" spans="1:3" ht="15" x14ac:dyDescent="0.25">
      <c r="A59"/>
      <c r="B59"/>
      <c r="C59"/>
    </row>
    <row r="60" spans="1:3" ht="15" x14ac:dyDescent="0.25">
      <c r="A60"/>
      <c r="B60"/>
      <c r="C60"/>
    </row>
    <row r="61" spans="1:3" ht="15" x14ac:dyDescent="0.25">
      <c r="A61"/>
      <c r="B61"/>
      <c r="C61"/>
    </row>
    <row r="62" spans="1:3" ht="15" x14ac:dyDescent="0.25">
      <c r="A62"/>
      <c r="B62"/>
      <c r="C62"/>
    </row>
    <row r="63" spans="1:3" ht="15" x14ac:dyDescent="0.25">
      <c r="A63"/>
      <c r="B63"/>
      <c r="C63"/>
    </row>
    <row r="64" spans="1:3" ht="15" x14ac:dyDescent="0.25">
      <c r="A64"/>
      <c r="B64"/>
      <c r="C64"/>
    </row>
    <row r="65" spans="1:3" ht="15" x14ac:dyDescent="0.25">
      <c r="A65"/>
      <c r="B65"/>
      <c r="C65"/>
    </row>
    <row r="66" spans="1:3" ht="15" x14ac:dyDescent="0.25">
      <c r="A66"/>
      <c r="B66"/>
      <c r="C66"/>
    </row>
    <row r="67" spans="1:3" ht="15" x14ac:dyDescent="0.25">
      <c r="A67"/>
      <c r="B67"/>
      <c r="C67"/>
    </row>
    <row r="68" spans="1:3" ht="15" x14ac:dyDescent="0.25">
      <c r="A68"/>
      <c r="B68"/>
      <c r="C68"/>
    </row>
    <row r="69" spans="1:3" ht="15" x14ac:dyDescent="0.25">
      <c r="A69"/>
    </row>
    <row r="70" spans="1:3" ht="15" x14ac:dyDescent="0.25">
      <c r="A70"/>
    </row>
    <row r="71" spans="1:3" ht="15" x14ac:dyDescent="0.25">
      <c r="A71"/>
    </row>
    <row r="72" spans="1:3" ht="15" x14ac:dyDescent="0.25">
      <c r="A72"/>
    </row>
    <row r="73" spans="1:3" ht="15" x14ac:dyDescent="0.25">
      <c r="A73"/>
    </row>
    <row r="74" spans="1:3" ht="15" x14ac:dyDescent="0.25">
      <c r="A74"/>
    </row>
    <row r="75" spans="1:3" ht="15" x14ac:dyDescent="0.25">
      <c r="A75"/>
    </row>
    <row r="76" spans="1:3" ht="15" x14ac:dyDescent="0.25">
      <c r="A76"/>
    </row>
    <row r="77" spans="1:3" ht="15" x14ac:dyDescent="0.25">
      <c r="A77"/>
    </row>
    <row r="78" spans="1:3" ht="15" x14ac:dyDescent="0.25">
      <c r="A78"/>
    </row>
    <row r="79" spans="1:3" ht="15" x14ac:dyDescent="0.25">
      <c r="A79"/>
    </row>
    <row r="80" spans="1:3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</sheetData>
  <sortState ref="A2:C45">
    <sortCondition ref="B2:B4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124"/>
  <sheetViews>
    <sheetView workbookViewId="0">
      <pane ySplit="1" topLeftCell="A103" activePane="bottomLeft" state="frozen"/>
      <selection pane="bottomLeft" activeCell="C113" sqref="C113"/>
    </sheetView>
  </sheetViews>
  <sheetFormatPr defaultColWidth="8.7109375" defaultRowHeight="15" x14ac:dyDescent="0.25"/>
  <cols>
    <col min="1" max="1" width="13.140625" style="114" customWidth="1"/>
    <col min="2" max="2" width="17.28515625" style="65" bestFit="1" customWidth="1"/>
    <col min="3" max="3" width="78.28515625" style="23" customWidth="1"/>
    <col min="4" max="16384" width="8.7109375" style="65"/>
  </cols>
  <sheetData>
    <row r="1" spans="1:3" x14ac:dyDescent="0.25">
      <c r="A1" s="114" t="s">
        <v>0</v>
      </c>
      <c r="B1" s="65" t="s">
        <v>333</v>
      </c>
      <c r="C1" s="23" t="s">
        <v>334</v>
      </c>
    </row>
    <row r="2" spans="1:3" x14ac:dyDescent="0.25">
      <c r="A2" s="114">
        <v>0</v>
      </c>
      <c r="B2" s="65" t="s">
        <v>446</v>
      </c>
      <c r="C2" s="113" t="s">
        <v>340</v>
      </c>
    </row>
    <row r="3" spans="1:3" x14ac:dyDescent="0.25">
      <c r="A3" s="114">
        <v>0</v>
      </c>
      <c r="B3" s="65" t="s">
        <v>446</v>
      </c>
      <c r="C3" s="113" t="s">
        <v>341</v>
      </c>
    </row>
    <row r="4" spans="1:3" x14ac:dyDescent="0.25">
      <c r="A4" s="114">
        <v>0</v>
      </c>
      <c r="B4" s="65" t="s">
        <v>446</v>
      </c>
      <c r="C4" s="113" t="s">
        <v>345</v>
      </c>
    </row>
    <row r="5" spans="1:3" x14ac:dyDescent="0.25">
      <c r="A5" s="114">
        <v>0</v>
      </c>
      <c r="B5" s="65" t="s">
        <v>448</v>
      </c>
      <c r="C5" s="113" t="s">
        <v>342</v>
      </c>
    </row>
    <row r="6" spans="1:3" x14ac:dyDescent="0.25">
      <c r="A6" s="114">
        <v>0</v>
      </c>
      <c r="B6" s="65" t="s">
        <v>448</v>
      </c>
      <c r="C6" s="113" t="s">
        <v>344</v>
      </c>
    </row>
    <row r="7" spans="1:3" x14ac:dyDescent="0.25">
      <c r="A7" s="114">
        <v>0</v>
      </c>
      <c r="B7" s="65" t="s">
        <v>448</v>
      </c>
      <c r="C7" s="113" t="s">
        <v>343</v>
      </c>
    </row>
    <row r="8" spans="1:3" x14ac:dyDescent="0.25">
      <c r="A8" s="113">
        <v>0</v>
      </c>
      <c r="B8" s="65" t="s">
        <v>452</v>
      </c>
      <c r="C8" s="116" t="s">
        <v>346</v>
      </c>
    </row>
    <row r="9" spans="1:3" x14ac:dyDescent="0.25">
      <c r="A9" s="114">
        <v>1</v>
      </c>
      <c r="B9" s="65" t="s">
        <v>446</v>
      </c>
      <c r="C9" s="113" t="s">
        <v>47</v>
      </c>
    </row>
    <row r="10" spans="1:3" x14ac:dyDescent="0.25">
      <c r="A10" s="114">
        <v>1</v>
      </c>
      <c r="B10" s="65" t="s">
        <v>446</v>
      </c>
      <c r="C10" s="113" t="s">
        <v>48</v>
      </c>
    </row>
    <row r="11" spans="1:3" x14ac:dyDescent="0.25">
      <c r="A11" s="114">
        <v>1</v>
      </c>
      <c r="B11" s="65" t="s">
        <v>446</v>
      </c>
      <c r="C11" s="113" t="s">
        <v>347</v>
      </c>
    </row>
    <row r="12" spans="1:3" x14ac:dyDescent="0.25">
      <c r="A12" s="114">
        <v>1</v>
      </c>
      <c r="B12" s="65" t="s">
        <v>446</v>
      </c>
      <c r="C12" s="113" t="s">
        <v>348</v>
      </c>
    </row>
    <row r="13" spans="1:3" x14ac:dyDescent="0.25">
      <c r="A13" s="114">
        <v>1</v>
      </c>
      <c r="B13" s="65" t="s">
        <v>446</v>
      </c>
      <c r="C13" s="113" t="s">
        <v>349</v>
      </c>
    </row>
    <row r="14" spans="1:3" x14ac:dyDescent="0.25">
      <c r="A14" s="114">
        <v>1</v>
      </c>
      <c r="B14" s="65" t="s">
        <v>446</v>
      </c>
      <c r="C14" s="113" t="s">
        <v>350</v>
      </c>
    </row>
    <row r="15" spans="1:3" x14ac:dyDescent="0.25">
      <c r="A15" s="114">
        <v>1</v>
      </c>
      <c r="B15" s="65" t="s">
        <v>446</v>
      </c>
      <c r="C15" s="113" t="s">
        <v>351</v>
      </c>
    </row>
    <row r="16" spans="1:3" x14ac:dyDescent="0.25">
      <c r="A16" s="114">
        <v>1</v>
      </c>
      <c r="B16" s="65" t="s">
        <v>446</v>
      </c>
      <c r="C16" s="113" t="s">
        <v>352</v>
      </c>
    </row>
    <row r="17" spans="1:3" x14ac:dyDescent="0.25">
      <c r="A17" s="114">
        <v>1</v>
      </c>
      <c r="B17" s="65" t="s">
        <v>447</v>
      </c>
      <c r="C17" s="113" t="s">
        <v>353</v>
      </c>
    </row>
    <row r="18" spans="1:3" x14ac:dyDescent="0.25">
      <c r="A18" s="114">
        <v>1</v>
      </c>
      <c r="B18" s="65" t="s">
        <v>447</v>
      </c>
      <c r="C18" s="113" t="s">
        <v>354</v>
      </c>
    </row>
    <row r="19" spans="1:3" x14ac:dyDescent="0.25">
      <c r="A19" s="114">
        <v>1</v>
      </c>
      <c r="B19" s="65" t="s">
        <v>447</v>
      </c>
      <c r="C19" s="113" t="s">
        <v>355</v>
      </c>
    </row>
    <row r="20" spans="1:3" x14ac:dyDescent="0.25">
      <c r="A20" s="114">
        <v>1</v>
      </c>
      <c r="B20" s="65" t="s">
        <v>447</v>
      </c>
      <c r="C20" s="113" t="s">
        <v>356</v>
      </c>
    </row>
    <row r="21" spans="1:3" x14ac:dyDescent="0.25">
      <c r="A21" s="114">
        <v>1</v>
      </c>
      <c r="B21" s="65" t="s">
        <v>447</v>
      </c>
      <c r="C21" s="113" t="s">
        <v>357</v>
      </c>
    </row>
    <row r="22" spans="1:3" x14ac:dyDescent="0.25">
      <c r="A22" s="114">
        <v>1</v>
      </c>
      <c r="B22" s="65" t="s">
        <v>447</v>
      </c>
      <c r="C22" s="113" t="s">
        <v>21</v>
      </c>
    </row>
    <row r="23" spans="1:3" x14ac:dyDescent="0.25">
      <c r="A23" s="114">
        <v>1</v>
      </c>
      <c r="B23" s="65" t="s">
        <v>448</v>
      </c>
      <c r="C23" s="113" t="s">
        <v>440</v>
      </c>
    </row>
    <row r="24" spans="1:3" x14ac:dyDescent="0.25">
      <c r="A24" s="114">
        <v>1</v>
      </c>
      <c r="B24" s="65" t="s">
        <v>449</v>
      </c>
      <c r="C24" s="113" t="s">
        <v>439</v>
      </c>
    </row>
    <row r="25" spans="1:3" x14ac:dyDescent="0.25">
      <c r="A25" s="113">
        <v>1</v>
      </c>
      <c r="B25" s="65" t="s">
        <v>449</v>
      </c>
      <c r="C25" s="113" t="s">
        <v>358</v>
      </c>
    </row>
    <row r="26" spans="1:3" x14ac:dyDescent="0.25">
      <c r="A26" s="113">
        <v>1</v>
      </c>
      <c r="B26" s="65" t="s">
        <v>449</v>
      </c>
      <c r="C26" s="113" t="s">
        <v>359</v>
      </c>
    </row>
    <row r="27" spans="1:3" ht="15" customHeight="1" x14ac:dyDescent="0.25">
      <c r="A27" s="113">
        <v>1</v>
      </c>
      <c r="B27" s="65" t="s">
        <v>449</v>
      </c>
      <c r="C27" s="113" t="s">
        <v>360</v>
      </c>
    </row>
    <row r="28" spans="1:3" x14ac:dyDescent="0.25">
      <c r="A28" s="114">
        <v>1</v>
      </c>
      <c r="B28" s="65" t="s">
        <v>449</v>
      </c>
      <c r="C28" s="113" t="s">
        <v>361</v>
      </c>
    </row>
    <row r="29" spans="1:3" x14ac:dyDescent="0.25">
      <c r="A29" s="114">
        <v>1</v>
      </c>
      <c r="B29" s="65" t="s">
        <v>450</v>
      </c>
      <c r="C29" s="113" t="s">
        <v>365</v>
      </c>
    </row>
    <row r="30" spans="1:3" x14ac:dyDescent="0.25">
      <c r="A30" s="114">
        <v>1</v>
      </c>
      <c r="B30" s="65" t="s">
        <v>450</v>
      </c>
      <c r="C30" s="113" t="s">
        <v>366</v>
      </c>
    </row>
    <row r="31" spans="1:3" x14ac:dyDescent="0.25">
      <c r="A31" s="113">
        <v>1</v>
      </c>
      <c r="B31" s="65" t="s">
        <v>450</v>
      </c>
      <c r="C31" s="115" t="s">
        <v>362</v>
      </c>
    </row>
    <row r="32" spans="1:3" ht="15" customHeight="1" x14ac:dyDescent="0.25">
      <c r="A32" s="113">
        <v>1</v>
      </c>
      <c r="B32" s="65" t="s">
        <v>450</v>
      </c>
      <c r="C32" s="113" t="s">
        <v>363</v>
      </c>
    </row>
    <row r="33" spans="1:3" x14ac:dyDescent="0.25">
      <c r="A33" s="113">
        <v>1</v>
      </c>
      <c r="B33" s="65" t="s">
        <v>450</v>
      </c>
      <c r="C33" s="113" t="s">
        <v>364</v>
      </c>
    </row>
    <row r="34" spans="1:3" x14ac:dyDescent="0.25">
      <c r="A34" s="114">
        <v>1</v>
      </c>
      <c r="B34" s="65" t="s">
        <v>451</v>
      </c>
      <c r="C34" s="113" t="s">
        <v>21</v>
      </c>
    </row>
    <row r="35" spans="1:3" x14ac:dyDescent="0.25">
      <c r="A35" s="114">
        <v>1</v>
      </c>
      <c r="B35" s="65" t="s">
        <v>451</v>
      </c>
      <c r="C35" s="113" t="s">
        <v>364</v>
      </c>
    </row>
    <row r="36" spans="1:3" x14ac:dyDescent="0.25">
      <c r="A36" s="114">
        <v>1</v>
      </c>
      <c r="B36" s="65" t="s">
        <v>452</v>
      </c>
      <c r="C36" s="113" t="s">
        <v>22</v>
      </c>
    </row>
    <row r="37" spans="1:3" ht="15" customHeight="1" x14ac:dyDescent="0.25">
      <c r="A37" s="114">
        <v>1</v>
      </c>
      <c r="B37" s="65" t="s">
        <v>452</v>
      </c>
      <c r="C37" s="113" t="s">
        <v>367</v>
      </c>
    </row>
    <row r="38" spans="1:3" x14ac:dyDescent="0.25">
      <c r="A38" s="114">
        <v>1</v>
      </c>
      <c r="B38" s="65" t="s">
        <v>452</v>
      </c>
      <c r="C38" s="113" t="s">
        <v>368</v>
      </c>
    </row>
    <row r="39" spans="1:3" x14ac:dyDescent="0.25">
      <c r="A39" s="114">
        <v>1</v>
      </c>
      <c r="B39" s="65" t="s">
        <v>452</v>
      </c>
      <c r="C39" s="113" t="s">
        <v>369</v>
      </c>
    </row>
    <row r="40" spans="1:3" x14ac:dyDescent="0.25">
      <c r="A40" s="114">
        <v>1</v>
      </c>
      <c r="B40" s="65" t="s">
        <v>452</v>
      </c>
      <c r="C40" s="113" t="s">
        <v>23</v>
      </c>
    </row>
    <row r="41" spans="1:3" ht="15" customHeight="1" x14ac:dyDescent="0.25">
      <c r="A41" s="114">
        <v>2</v>
      </c>
      <c r="B41" s="65" t="s">
        <v>446</v>
      </c>
      <c r="C41" s="113" t="s">
        <v>370</v>
      </c>
    </row>
    <row r="42" spans="1:3" x14ac:dyDescent="0.25">
      <c r="A42" s="114">
        <v>2</v>
      </c>
      <c r="B42" s="65" t="s">
        <v>446</v>
      </c>
      <c r="C42" s="113" t="s">
        <v>371</v>
      </c>
    </row>
    <row r="43" spans="1:3" x14ac:dyDescent="0.25">
      <c r="A43" s="114">
        <v>2</v>
      </c>
      <c r="B43" s="65" t="s">
        <v>446</v>
      </c>
      <c r="C43" s="113" t="s">
        <v>372</v>
      </c>
    </row>
    <row r="44" spans="1:3" x14ac:dyDescent="0.25">
      <c r="A44" s="114">
        <v>2</v>
      </c>
      <c r="B44" s="65" t="s">
        <v>447</v>
      </c>
      <c r="C44" s="113" t="s">
        <v>373</v>
      </c>
    </row>
    <row r="45" spans="1:3" x14ac:dyDescent="0.25">
      <c r="A45" s="114">
        <v>2</v>
      </c>
      <c r="B45" s="65" t="s">
        <v>447</v>
      </c>
      <c r="C45" s="113" t="s">
        <v>374</v>
      </c>
    </row>
    <row r="46" spans="1:3" x14ac:dyDescent="0.25">
      <c r="A46" s="114">
        <v>2</v>
      </c>
      <c r="B46" s="65" t="s">
        <v>447</v>
      </c>
      <c r="C46" s="113" t="s">
        <v>375</v>
      </c>
    </row>
    <row r="47" spans="1:3" x14ac:dyDescent="0.25">
      <c r="A47" s="114">
        <v>2</v>
      </c>
      <c r="B47" s="65" t="s">
        <v>447</v>
      </c>
      <c r="C47" s="113" t="s">
        <v>376</v>
      </c>
    </row>
    <row r="48" spans="1:3" x14ac:dyDescent="0.25">
      <c r="A48" s="114">
        <v>2</v>
      </c>
      <c r="B48" s="65" t="s">
        <v>448</v>
      </c>
      <c r="C48" s="113" t="s">
        <v>378</v>
      </c>
    </row>
    <row r="49" spans="1:3" x14ac:dyDescent="0.25">
      <c r="A49" s="114">
        <v>2</v>
      </c>
      <c r="B49" s="65" t="s">
        <v>448</v>
      </c>
      <c r="C49" s="113" t="s">
        <v>377</v>
      </c>
    </row>
    <row r="50" spans="1:3" x14ac:dyDescent="0.25">
      <c r="A50" s="114">
        <v>2</v>
      </c>
      <c r="B50" s="65" t="s">
        <v>449</v>
      </c>
      <c r="C50" s="113" t="s">
        <v>376</v>
      </c>
    </row>
    <row r="51" spans="1:3" x14ac:dyDescent="0.25">
      <c r="A51" s="113">
        <v>2</v>
      </c>
      <c r="B51" s="65" t="s">
        <v>449</v>
      </c>
      <c r="C51" s="113" t="s">
        <v>386</v>
      </c>
    </row>
    <row r="52" spans="1:3" x14ac:dyDescent="0.25">
      <c r="A52" s="113">
        <v>2</v>
      </c>
      <c r="B52" s="65" t="s">
        <v>449</v>
      </c>
      <c r="C52" s="113" t="s">
        <v>384</v>
      </c>
    </row>
    <row r="53" spans="1:3" x14ac:dyDescent="0.25">
      <c r="A53" s="113">
        <v>2</v>
      </c>
      <c r="B53" s="65" t="s">
        <v>449</v>
      </c>
      <c r="C53" s="113" t="s">
        <v>387</v>
      </c>
    </row>
    <row r="54" spans="1:3" x14ac:dyDescent="0.25">
      <c r="A54" s="114">
        <v>2</v>
      </c>
      <c r="B54" s="65" t="s">
        <v>449</v>
      </c>
      <c r="C54" s="113" t="s">
        <v>388</v>
      </c>
    </row>
    <row r="55" spans="1:3" x14ac:dyDescent="0.25">
      <c r="A55" s="114">
        <v>2</v>
      </c>
      <c r="B55" s="65" t="s">
        <v>450</v>
      </c>
      <c r="C55" s="113" t="s">
        <v>379</v>
      </c>
    </row>
    <row r="56" spans="1:3" x14ac:dyDescent="0.25">
      <c r="A56" s="114">
        <v>2</v>
      </c>
      <c r="B56" s="65" t="s">
        <v>450</v>
      </c>
      <c r="C56" s="113" t="s">
        <v>381</v>
      </c>
    </row>
    <row r="57" spans="1:3" x14ac:dyDescent="0.25">
      <c r="A57" s="113">
        <v>2</v>
      </c>
      <c r="B57" s="65" t="s">
        <v>450</v>
      </c>
      <c r="C57" s="113" t="s">
        <v>380</v>
      </c>
    </row>
    <row r="58" spans="1:3" x14ac:dyDescent="0.25">
      <c r="A58" s="114">
        <v>2</v>
      </c>
      <c r="B58" s="65" t="s">
        <v>450</v>
      </c>
      <c r="C58" s="113" t="s">
        <v>15</v>
      </c>
    </row>
    <row r="59" spans="1:3" x14ac:dyDescent="0.25">
      <c r="A59" s="114">
        <v>2</v>
      </c>
      <c r="B59" s="65" t="s">
        <v>450</v>
      </c>
      <c r="C59" s="113" t="s">
        <v>16</v>
      </c>
    </row>
    <row r="60" spans="1:3" x14ac:dyDescent="0.25">
      <c r="A60" s="113">
        <v>2</v>
      </c>
      <c r="B60" s="65" t="s">
        <v>450</v>
      </c>
      <c r="C60" s="113" t="s">
        <v>382</v>
      </c>
    </row>
    <row r="61" spans="1:3" x14ac:dyDescent="0.25">
      <c r="A61" s="113">
        <v>2</v>
      </c>
      <c r="B61" s="65" t="s">
        <v>450</v>
      </c>
      <c r="C61" s="113" t="s">
        <v>383</v>
      </c>
    </row>
    <row r="62" spans="1:3" x14ac:dyDescent="0.25">
      <c r="A62" s="114">
        <v>2</v>
      </c>
      <c r="B62" s="65" t="s">
        <v>451</v>
      </c>
      <c r="C62" s="113" t="s">
        <v>384</v>
      </c>
    </row>
    <row r="63" spans="1:3" x14ac:dyDescent="0.25">
      <c r="A63" s="114">
        <v>2</v>
      </c>
      <c r="B63" s="65" t="s">
        <v>451</v>
      </c>
      <c r="C63" s="113" t="s">
        <v>385</v>
      </c>
    </row>
    <row r="64" spans="1:3" x14ac:dyDescent="0.25">
      <c r="A64" s="114">
        <v>2</v>
      </c>
      <c r="B64" s="65" t="s">
        <v>452</v>
      </c>
      <c r="C64" s="113" t="s">
        <v>24</v>
      </c>
    </row>
    <row r="65" spans="1:3" x14ac:dyDescent="0.25">
      <c r="A65" s="114">
        <v>2</v>
      </c>
      <c r="B65" s="65" t="s">
        <v>452</v>
      </c>
      <c r="C65" s="113" t="s">
        <v>391</v>
      </c>
    </row>
    <row r="66" spans="1:3" x14ac:dyDescent="0.25">
      <c r="A66" s="114">
        <v>2</v>
      </c>
      <c r="B66" s="65" t="s">
        <v>452</v>
      </c>
      <c r="C66" s="113" t="s">
        <v>389</v>
      </c>
    </row>
    <row r="67" spans="1:3" x14ac:dyDescent="0.25">
      <c r="A67" s="114">
        <v>2</v>
      </c>
      <c r="B67" s="65" t="s">
        <v>452</v>
      </c>
      <c r="C67" s="113" t="s">
        <v>390</v>
      </c>
    </row>
    <row r="68" spans="1:3" x14ac:dyDescent="0.25">
      <c r="A68" s="114">
        <v>3</v>
      </c>
      <c r="B68" s="65" t="s">
        <v>447</v>
      </c>
      <c r="C68" s="113" t="s">
        <v>394</v>
      </c>
    </row>
    <row r="69" spans="1:3" x14ac:dyDescent="0.25">
      <c r="A69" s="114">
        <v>3</v>
      </c>
      <c r="B69" s="65" t="s">
        <v>447</v>
      </c>
      <c r="C69" s="113" t="s">
        <v>395</v>
      </c>
    </row>
    <row r="70" spans="1:3" x14ac:dyDescent="0.25">
      <c r="A70" s="114">
        <v>3</v>
      </c>
      <c r="B70" s="65" t="s">
        <v>447</v>
      </c>
      <c r="C70" s="113" t="s">
        <v>396</v>
      </c>
    </row>
    <row r="71" spans="1:3" x14ac:dyDescent="0.25">
      <c r="A71" s="114">
        <v>3</v>
      </c>
      <c r="B71" s="65" t="s">
        <v>447</v>
      </c>
      <c r="C71" s="113" t="s">
        <v>397</v>
      </c>
    </row>
    <row r="72" spans="1:3" x14ac:dyDescent="0.25">
      <c r="A72" s="114">
        <v>3</v>
      </c>
      <c r="B72" s="65" t="s">
        <v>447</v>
      </c>
      <c r="C72" s="113" t="s">
        <v>398</v>
      </c>
    </row>
    <row r="73" spans="1:3" x14ac:dyDescent="0.25">
      <c r="A73" s="114">
        <v>3</v>
      </c>
      <c r="B73" s="65" t="s">
        <v>448</v>
      </c>
      <c r="C73" s="113" t="s">
        <v>392</v>
      </c>
    </row>
    <row r="74" spans="1:3" x14ac:dyDescent="0.25">
      <c r="A74" s="114">
        <v>3</v>
      </c>
      <c r="B74" s="65" t="s">
        <v>448</v>
      </c>
      <c r="C74" s="113" t="s">
        <v>393</v>
      </c>
    </row>
    <row r="75" spans="1:3" x14ac:dyDescent="0.25">
      <c r="A75" s="113">
        <v>3</v>
      </c>
      <c r="B75" s="65" t="s">
        <v>449</v>
      </c>
      <c r="C75" s="113" t="s">
        <v>408</v>
      </c>
    </row>
    <row r="76" spans="1:3" x14ac:dyDescent="0.25">
      <c r="A76" s="113">
        <v>3</v>
      </c>
      <c r="B76" s="65" t="s">
        <v>449</v>
      </c>
      <c r="C76" s="113" t="s">
        <v>405</v>
      </c>
    </row>
    <row r="77" spans="1:3" x14ac:dyDescent="0.25">
      <c r="A77" s="113">
        <v>3</v>
      </c>
      <c r="B77" s="65" t="s">
        <v>449</v>
      </c>
      <c r="C77" s="113" t="s">
        <v>406</v>
      </c>
    </row>
    <row r="78" spans="1:3" x14ac:dyDescent="0.25">
      <c r="A78" s="113">
        <v>3</v>
      </c>
      <c r="B78" s="65" t="s">
        <v>449</v>
      </c>
      <c r="C78" s="113" t="s">
        <v>407</v>
      </c>
    </row>
    <row r="79" spans="1:3" x14ac:dyDescent="0.25">
      <c r="A79" s="113">
        <v>3</v>
      </c>
      <c r="B79" s="65" t="s">
        <v>450</v>
      </c>
      <c r="C79" s="113" t="s">
        <v>399</v>
      </c>
    </row>
    <row r="80" spans="1:3" ht="15" customHeight="1" x14ac:dyDescent="0.25">
      <c r="A80" s="114">
        <v>3</v>
      </c>
      <c r="B80" s="65" t="s">
        <v>450</v>
      </c>
      <c r="C80" s="113" t="s">
        <v>403</v>
      </c>
    </row>
    <row r="81" spans="1:3" x14ac:dyDescent="0.25">
      <c r="A81" s="114">
        <v>3</v>
      </c>
      <c r="B81" s="65" t="s">
        <v>450</v>
      </c>
      <c r="C81" s="113" t="s">
        <v>404</v>
      </c>
    </row>
    <row r="82" spans="1:3" x14ac:dyDescent="0.25">
      <c r="A82" s="113">
        <v>3</v>
      </c>
      <c r="B82" s="65" t="s">
        <v>450</v>
      </c>
      <c r="C82" s="113" t="s">
        <v>400</v>
      </c>
    </row>
    <row r="83" spans="1:3" x14ac:dyDescent="0.25">
      <c r="A83" s="114">
        <v>3</v>
      </c>
      <c r="B83" s="65" t="s">
        <v>450</v>
      </c>
      <c r="C83" s="113" t="s">
        <v>401</v>
      </c>
    </row>
    <row r="84" spans="1:3" x14ac:dyDescent="0.25">
      <c r="A84" s="114">
        <v>3</v>
      </c>
      <c r="B84" s="65" t="s">
        <v>450</v>
      </c>
      <c r="C84" s="113" t="s">
        <v>402</v>
      </c>
    </row>
    <row r="85" spans="1:3" x14ac:dyDescent="0.25">
      <c r="A85" s="114">
        <v>3</v>
      </c>
      <c r="B85" s="65" t="s">
        <v>452</v>
      </c>
      <c r="C85" s="113" t="s">
        <v>409</v>
      </c>
    </row>
    <row r="86" spans="1:3" x14ac:dyDescent="0.25">
      <c r="A86" s="114">
        <v>4</v>
      </c>
      <c r="B86" s="65" t="s">
        <v>446</v>
      </c>
      <c r="C86" s="113" t="s">
        <v>417</v>
      </c>
    </row>
    <row r="87" spans="1:3" x14ac:dyDescent="0.25">
      <c r="A87" s="114">
        <v>4</v>
      </c>
      <c r="B87" s="65" t="s">
        <v>447</v>
      </c>
      <c r="C87" s="113" t="s">
        <v>411</v>
      </c>
    </row>
    <row r="88" spans="1:3" x14ac:dyDescent="0.25">
      <c r="A88" s="114">
        <v>4</v>
      </c>
      <c r="B88" s="65" t="s">
        <v>447</v>
      </c>
      <c r="C88" s="113" t="s">
        <v>412</v>
      </c>
    </row>
    <row r="89" spans="1:3" x14ac:dyDescent="0.25">
      <c r="A89" s="114">
        <v>4</v>
      </c>
      <c r="B89" s="65" t="s">
        <v>448</v>
      </c>
      <c r="C89" s="113" t="s">
        <v>410</v>
      </c>
    </row>
    <row r="90" spans="1:3" x14ac:dyDescent="0.25">
      <c r="A90" s="114">
        <v>4</v>
      </c>
      <c r="B90" s="65" t="s">
        <v>448</v>
      </c>
      <c r="C90" s="113" t="s">
        <v>412</v>
      </c>
    </row>
    <row r="91" spans="1:3" x14ac:dyDescent="0.25">
      <c r="A91" s="113">
        <v>4</v>
      </c>
      <c r="B91" s="65" t="s">
        <v>449</v>
      </c>
      <c r="C91" s="113" t="s">
        <v>417</v>
      </c>
    </row>
    <row r="92" spans="1:3" x14ac:dyDescent="0.25">
      <c r="A92" s="113">
        <v>4</v>
      </c>
      <c r="B92" s="65" t="s">
        <v>449</v>
      </c>
      <c r="C92" s="113" t="s">
        <v>418</v>
      </c>
    </row>
    <row r="93" spans="1:3" ht="15" customHeight="1" x14ac:dyDescent="0.25">
      <c r="A93" s="114">
        <v>4</v>
      </c>
      <c r="B93" s="65" t="s">
        <v>450</v>
      </c>
      <c r="C93" s="113" t="s">
        <v>413</v>
      </c>
    </row>
    <row r="94" spans="1:3" x14ac:dyDescent="0.25">
      <c r="A94" s="114">
        <v>4</v>
      </c>
      <c r="B94" s="65" t="s">
        <v>450</v>
      </c>
      <c r="C94" s="113" t="s">
        <v>414</v>
      </c>
    </row>
    <row r="95" spans="1:3" x14ac:dyDescent="0.25">
      <c r="A95" s="114">
        <v>4</v>
      </c>
      <c r="B95" s="65" t="s">
        <v>450</v>
      </c>
      <c r="C95" s="113" t="s">
        <v>415</v>
      </c>
    </row>
    <row r="96" spans="1:3" x14ac:dyDescent="0.25">
      <c r="A96" s="114">
        <v>4</v>
      </c>
      <c r="B96" s="65" t="s">
        <v>450</v>
      </c>
      <c r="C96" s="113" t="s">
        <v>416</v>
      </c>
    </row>
    <row r="97" spans="1:3" x14ac:dyDescent="0.25">
      <c r="A97" s="114">
        <v>4</v>
      </c>
      <c r="B97" s="65" t="s">
        <v>452</v>
      </c>
      <c r="C97" s="113" t="s">
        <v>25</v>
      </c>
    </row>
    <row r="98" spans="1:3" x14ac:dyDescent="0.25">
      <c r="A98" s="114">
        <v>5</v>
      </c>
      <c r="B98" s="65" t="s">
        <v>447</v>
      </c>
      <c r="C98" s="113" t="s">
        <v>419</v>
      </c>
    </row>
    <row r="99" spans="1:3" x14ac:dyDescent="0.25">
      <c r="A99" s="114">
        <v>5</v>
      </c>
      <c r="B99" s="65" t="s">
        <v>448</v>
      </c>
      <c r="C99" s="113" t="s">
        <v>420</v>
      </c>
    </row>
    <row r="100" spans="1:3" x14ac:dyDescent="0.25">
      <c r="A100" s="113">
        <v>5</v>
      </c>
      <c r="B100" s="65" t="s">
        <v>449</v>
      </c>
      <c r="C100" s="113" t="s">
        <v>421</v>
      </c>
    </row>
    <row r="101" spans="1:3" x14ac:dyDescent="0.25">
      <c r="A101" s="113">
        <v>5</v>
      </c>
      <c r="B101" s="65" t="s">
        <v>450</v>
      </c>
      <c r="C101" s="113" t="s">
        <v>423</v>
      </c>
    </row>
    <row r="102" spans="1:3" x14ac:dyDescent="0.25">
      <c r="A102" s="113">
        <v>5</v>
      </c>
      <c r="B102" s="65" t="s">
        <v>450</v>
      </c>
      <c r="C102" s="113" t="s">
        <v>422</v>
      </c>
    </row>
    <row r="103" spans="1:3" x14ac:dyDescent="0.25">
      <c r="A103" s="114">
        <v>5</v>
      </c>
      <c r="B103" s="65" t="s">
        <v>450</v>
      </c>
      <c r="C103" s="113" t="s">
        <v>17</v>
      </c>
    </row>
    <row r="104" spans="1:3" x14ac:dyDescent="0.25">
      <c r="A104" s="114">
        <v>5</v>
      </c>
      <c r="B104" s="65" t="s">
        <v>451</v>
      </c>
      <c r="C104" s="113" t="s">
        <v>421</v>
      </c>
    </row>
    <row r="107" spans="1:3" x14ac:dyDescent="0.25">
      <c r="A107" s="117" t="s">
        <v>453</v>
      </c>
      <c r="B107" t="s">
        <v>455</v>
      </c>
      <c r="C107"/>
    </row>
    <row r="108" spans="1:3" x14ac:dyDescent="0.25">
      <c r="A108" s="99">
        <v>0</v>
      </c>
      <c r="B108" s="118">
        <v>7</v>
      </c>
      <c r="C108"/>
    </row>
    <row r="109" spans="1:3" x14ac:dyDescent="0.25">
      <c r="A109" s="99">
        <v>1</v>
      </c>
      <c r="B109" s="118">
        <v>32</v>
      </c>
      <c r="C109"/>
    </row>
    <row r="110" spans="1:3" x14ac:dyDescent="0.25">
      <c r="A110" s="99">
        <v>2</v>
      </c>
      <c r="B110" s="118">
        <v>27</v>
      </c>
      <c r="C110"/>
    </row>
    <row r="111" spans="1:3" x14ac:dyDescent="0.25">
      <c r="A111" s="99">
        <v>3</v>
      </c>
      <c r="B111" s="118">
        <v>18</v>
      </c>
      <c r="C111"/>
    </row>
    <row r="112" spans="1:3" x14ac:dyDescent="0.25">
      <c r="A112" s="99">
        <v>4</v>
      </c>
      <c r="B112" s="118">
        <v>12</v>
      </c>
      <c r="C112"/>
    </row>
    <row r="113" spans="1:3" x14ac:dyDescent="0.25">
      <c r="A113" s="99">
        <v>5</v>
      </c>
      <c r="B113" s="118">
        <v>7</v>
      </c>
      <c r="C113"/>
    </row>
    <row r="114" spans="1:3" x14ac:dyDescent="0.25">
      <c r="A114" s="99" t="s">
        <v>454</v>
      </c>
      <c r="B114" s="118">
        <v>103</v>
      </c>
      <c r="C114"/>
    </row>
    <row r="115" spans="1:3" x14ac:dyDescent="0.25">
      <c r="A115"/>
      <c r="B115"/>
      <c r="C115"/>
    </row>
    <row r="116" spans="1:3" x14ac:dyDescent="0.25">
      <c r="A116"/>
      <c r="B116"/>
      <c r="C116"/>
    </row>
    <row r="117" spans="1:3" x14ac:dyDescent="0.25">
      <c r="A117"/>
      <c r="B117"/>
      <c r="C117"/>
    </row>
    <row r="118" spans="1:3" x14ac:dyDescent="0.25">
      <c r="A118"/>
      <c r="B118"/>
      <c r="C118"/>
    </row>
    <row r="119" spans="1:3" x14ac:dyDescent="0.25">
      <c r="A119"/>
      <c r="B119"/>
      <c r="C119"/>
    </row>
    <row r="120" spans="1:3" x14ac:dyDescent="0.25">
      <c r="A120"/>
      <c r="B120"/>
      <c r="C120"/>
    </row>
    <row r="121" spans="1:3" x14ac:dyDescent="0.25">
      <c r="A121"/>
      <c r="B121"/>
      <c r="C121"/>
    </row>
    <row r="122" spans="1:3" x14ac:dyDescent="0.25">
      <c r="A122"/>
      <c r="B122"/>
      <c r="C122"/>
    </row>
    <row r="123" spans="1:3" x14ac:dyDescent="0.25">
      <c r="A123"/>
      <c r="B123"/>
      <c r="C123"/>
    </row>
    <row r="124" spans="1:3" x14ac:dyDescent="0.25">
      <c r="A124"/>
      <c r="B124"/>
      <c r="C124"/>
    </row>
  </sheetData>
  <sortState ref="A2:C102">
    <sortCondition ref="A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topLeftCell="A3" zoomScale="130" zoomScaleNormal="130" workbookViewId="0">
      <selection activeCell="F14" sqref="F14:I14"/>
    </sheetView>
  </sheetViews>
  <sheetFormatPr defaultColWidth="8.7109375" defaultRowHeight="15" x14ac:dyDescent="0.25"/>
  <cols>
    <col min="3" max="3" width="3.140625" style="43" customWidth="1"/>
    <col min="4" max="4" width="7.42578125" style="43" customWidth="1"/>
    <col min="5" max="5" width="7.28515625" customWidth="1"/>
  </cols>
  <sheetData>
    <row r="4" spans="3:10" ht="26.25" customHeight="1" x14ac:dyDescent="0.25">
      <c r="C4" s="256" t="s">
        <v>52</v>
      </c>
      <c r="D4" s="257"/>
      <c r="E4" s="254" t="s">
        <v>231</v>
      </c>
      <c r="F4" s="254"/>
      <c r="G4" s="254"/>
      <c r="H4" s="254"/>
      <c r="I4" s="254"/>
      <c r="J4" s="61" t="s">
        <v>329</v>
      </c>
    </row>
    <row r="6" spans="3:10" ht="26.25" customHeight="1" x14ac:dyDescent="0.25">
      <c r="C6" s="251" t="s">
        <v>53</v>
      </c>
      <c r="D6" s="251"/>
      <c r="E6" s="252"/>
      <c r="F6" s="258" t="s">
        <v>494</v>
      </c>
      <c r="G6" s="258"/>
      <c r="H6" s="258"/>
      <c r="I6" s="258"/>
    </row>
    <row r="7" spans="3:10" ht="26.25" customHeight="1" x14ac:dyDescent="0.25">
      <c r="D7" s="251" t="s">
        <v>54</v>
      </c>
      <c r="E7" s="252"/>
      <c r="F7" s="259" t="s">
        <v>495</v>
      </c>
      <c r="G7" s="259"/>
      <c r="H7" s="259"/>
      <c r="I7" s="259"/>
    </row>
    <row r="8" spans="3:10" ht="26.25" customHeight="1" x14ac:dyDescent="0.25">
      <c r="D8" s="251" t="s">
        <v>55</v>
      </c>
      <c r="E8" s="252"/>
      <c r="F8" s="259" t="s">
        <v>496</v>
      </c>
      <c r="G8" s="259"/>
      <c r="H8" s="259"/>
      <c r="I8" s="259"/>
    </row>
    <row r="9" spans="3:10" x14ac:dyDescent="0.25">
      <c r="E9" s="44"/>
      <c r="F9" s="43"/>
      <c r="G9" s="43"/>
      <c r="H9" s="43"/>
      <c r="I9" s="43"/>
    </row>
    <row r="10" spans="3:10" ht="26.25" customHeight="1" x14ac:dyDescent="0.25">
      <c r="C10" s="251" t="s">
        <v>53</v>
      </c>
      <c r="D10" s="251"/>
      <c r="E10" s="252"/>
      <c r="F10" s="253" t="s">
        <v>497</v>
      </c>
      <c r="G10" s="253"/>
      <c r="H10" s="253"/>
      <c r="I10" s="253"/>
    </row>
    <row r="11" spans="3:10" ht="26.25" customHeight="1" x14ac:dyDescent="0.25">
      <c r="D11" s="251" t="s">
        <v>54</v>
      </c>
      <c r="E11" s="252"/>
      <c r="F11" s="253" t="s">
        <v>496</v>
      </c>
      <c r="G11" s="253"/>
      <c r="H11" s="253"/>
      <c r="I11" s="253"/>
    </row>
    <row r="12" spans="3:10" ht="26.25" customHeight="1" x14ac:dyDescent="0.25">
      <c r="D12" s="251" t="s">
        <v>55</v>
      </c>
      <c r="E12" s="252"/>
      <c r="F12" s="253" t="s">
        <v>496</v>
      </c>
      <c r="G12" s="253"/>
      <c r="H12" s="253"/>
      <c r="I12" s="253"/>
    </row>
    <row r="13" spans="3:10" x14ac:dyDescent="0.25">
      <c r="E13" s="44"/>
      <c r="F13" s="43"/>
      <c r="G13" s="43"/>
      <c r="H13" s="43"/>
      <c r="I13" s="43"/>
    </row>
    <row r="14" spans="3:10" ht="26.25" customHeight="1" x14ac:dyDescent="0.25">
      <c r="C14" s="251" t="s">
        <v>323</v>
      </c>
      <c r="D14" s="251"/>
      <c r="E14" s="252"/>
      <c r="F14" s="255">
        <v>42550</v>
      </c>
      <c r="G14" s="255"/>
      <c r="H14" s="255"/>
      <c r="I14" s="255"/>
    </row>
    <row r="15" spans="3:10" x14ac:dyDescent="0.25">
      <c r="F15" s="45"/>
      <c r="G15" s="45"/>
      <c r="H15" s="45"/>
      <c r="I15" s="45"/>
    </row>
  </sheetData>
  <sheetProtection algorithmName="SHA-512" hashValue="34/RPeQ+jgJJ7WN6RC9thnqqOs+wvsefhWIGsHNK0WDjc+3IEcoI29nZkMZdvDRQwsdzFvvEZ9FYUyO8PTBIQg==" saltValue="Wcqrb3pGNc7cCyFr82fNj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activeCell="B22" sqref="B22"/>
    </sheetView>
  </sheetViews>
  <sheetFormatPr defaultColWidth="8.7109375" defaultRowHeight="15" x14ac:dyDescent="0.25"/>
  <cols>
    <col min="1" max="1" width="24.42578125" bestFit="1" customWidth="1"/>
  </cols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  <row r="11" spans="1:1" x14ac:dyDescent="0.25">
      <c r="A11" t="s">
        <v>66</v>
      </c>
    </row>
    <row r="12" spans="1:1" x14ac:dyDescent="0.25">
      <c r="A12" t="s">
        <v>67</v>
      </c>
    </row>
    <row r="13" spans="1:1" x14ac:dyDescent="0.25">
      <c r="A13" t="s">
        <v>68</v>
      </c>
    </row>
    <row r="14" spans="1:1" x14ac:dyDescent="0.25">
      <c r="A14" t="s">
        <v>69</v>
      </c>
    </row>
    <row r="15" spans="1:1" x14ac:dyDescent="0.25">
      <c r="A15" t="s">
        <v>70</v>
      </c>
    </row>
    <row r="16" spans="1:1" x14ac:dyDescent="0.25">
      <c r="A16" t="s">
        <v>71</v>
      </c>
    </row>
    <row r="17" spans="1:1" x14ac:dyDescent="0.25">
      <c r="A17" t="s">
        <v>72</v>
      </c>
    </row>
    <row r="18" spans="1:1" x14ac:dyDescent="0.25">
      <c r="A18" t="s">
        <v>73</v>
      </c>
    </row>
    <row r="19" spans="1:1" x14ac:dyDescent="0.25">
      <c r="A19" t="s">
        <v>74</v>
      </c>
    </row>
    <row r="20" spans="1:1" x14ac:dyDescent="0.25">
      <c r="A20" t="s">
        <v>75</v>
      </c>
    </row>
    <row r="21" spans="1:1" x14ac:dyDescent="0.25">
      <c r="A21" t="s">
        <v>76</v>
      </c>
    </row>
    <row r="22" spans="1:1" x14ac:dyDescent="0.25">
      <c r="A22" t="s">
        <v>77</v>
      </c>
    </row>
    <row r="23" spans="1:1" x14ac:dyDescent="0.25">
      <c r="A23" t="s">
        <v>78</v>
      </c>
    </row>
    <row r="24" spans="1:1" x14ac:dyDescent="0.25">
      <c r="A24" t="s">
        <v>79</v>
      </c>
    </row>
    <row r="25" spans="1:1" x14ac:dyDescent="0.25">
      <c r="A25" t="s">
        <v>80</v>
      </c>
    </row>
    <row r="26" spans="1:1" x14ac:dyDescent="0.25">
      <c r="A26" t="s">
        <v>81</v>
      </c>
    </row>
    <row r="27" spans="1:1" x14ac:dyDescent="0.25">
      <c r="A27" t="s">
        <v>82</v>
      </c>
    </row>
    <row r="28" spans="1:1" x14ac:dyDescent="0.25">
      <c r="A28" t="s">
        <v>83</v>
      </c>
    </row>
    <row r="29" spans="1:1" x14ac:dyDescent="0.25">
      <c r="A29" t="s">
        <v>84</v>
      </c>
    </row>
    <row r="30" spans="1:1" x14ac:dyDescent="0.25">
      <c r="A30" t="s">
        <v>85</v>
      </c>
    </row>
    <row r="31" spans="1:1" x14ac:dyDescent="0.25">
      <c r="A31" t="s">
        <v>86</v>
      </c>
    </row>
    <row r="32" spans="1:1" x14ac:dyDescent="0.25">
      <c r="A32" t="s">
        <v>87</v>
      </c>
    </row>
    <row r="33" spans="1:1" x14ac:dyDescent="0.25">
      <c r="A33" t="s">
        <v>88</v>
      </c>
    </row>
    <row r="34" spans="1:1" x14ac:dyDescent="0.25">
      <c r="A34" t="s">
        <v>89</v>
      </c>
    </row>
    <row r="35" spans="1:1" x14ac:dyDescent="0.25">
      <c r="A35" t="s">
        <v>90</v>
      </c>
    </row>
    <row r="36" spans="1:1" x14ac:dyDescent="0.25">
      <c r="A36" t="s">
        <v>91</v>
      </c>
    </row>
    <row r="37" spans="1:1" x14ac:dyDescent="0.25">
      <c r="A37" t="s">
        <v>92</v>
      </c>
    </row>
    <row r="38" spans="1:1" x14ac:dyDescent="0.25">
      <c r="A38" t="s">
        <v>93</v>
      </c>
    </row>
    <row r="39" spans="1:1" x14ac:dyDescent="0.25">
      <c r="A39" t="s">
        <v>94</v>
      </c>
    </row>
    <row r="40" spans="1:1" x14ac:dyDescent="0.25">
      <c r="A40" t="s">
        <v>95</v>
      </c>
    </row>
    <row r="41" spans="1:1" x14ac:dyDescent="0.25">
      <c r="A41" t="s">
        <v>96</v>
      </c>
    </row>
    <row r="42" spans="1:1" x14ac:dyDescent="0.25">
      <c r="A42" t="s">
        <v>97</v>
      </c>
    </row>
    <row r="43" spans="1:1" x14ac:dyDescent="0.25">
      <c r="A43" t="s">
        <v>98</v>
      </c>
    </row>
    <row r="44" spans="1:1" x14ac:dyDescent="0.25">
      <c r="A44" t="s">
        <v>99</v>
      </c>
    </row>
    <row r="45" spans="1:1" x14ac:dyDescent="0.25">
      <c r="A45" t="s">
        <v>100</v>
      </c>
    </row>
    <row r="46" spans="1:1" x14ac:dyDescent="0.25">
      <c r="A46" t="s">
        <v>101</v>
      </c>
    </row>
    <row r="47" spans="1:1" x14ac:dyDescent="0.25">
      <c r="A47" t="s">
        <v>102</v>
      </c>
    </row>
    <row r="48" spans="1:1" x14ac:dyDescent="0.25">
      <c r="A48" t="s">
        <v>103</v>
      </c>
    </row>
    <row r="49" spans="1:1" x14ac:dyDescent="0.25">
      <c r="A49" t="s">
        <v>104</v>
      </c>
    </row>
    <row r="50" spans="1:1" x14ac:dyDescent="0.25">
      <c r="A50" t="s">
        <v>105</v>
      </c>
    </row>
    <row r="51" spans="1:1" x14ac:dyDescent="0.25">
      <c r="A51" t="s">
        <v>106</v>
      </c>
    </row>
    <row r="52" spans="1:1" x14ac:dyDescent="0.25">
      <c r="A52" t="s">
        <v>107</v>
      </c>
    </row>
    <row r="53" spans="1:1" x14ac:dyDescent="0.25">
      <c r="A53" t="s">
        <v>108</v>
      </c>
    </row>
    <row r="54" spans="1:1" x14ac:dyDescent="0.25">
      <c r="A54" t="s">
        <v>109</v>
      </c>
    </row>
    <row r="55" spans="1:1" x14ac:dyDescent="0.25">
      <c r="A55" t="s">
        <v>110</v>
      </c>
    </row>
    <row r="56" spans="1:1" x14ac:dyDescent="0.25">
      <c r="A56" t="s">
        <v>111</v>
      </c>
    </row>
    <row r="57" spans="1:1" x14ac:dyDescent="0.25">
      <c r="A57" t="s">
        <v>112</v>
      </c>
    </row>
    <row r="58" spans="1:1" x14ac:dyDescent="0.25">
      <c r="A58" t="s">
        <v>113</v>
      </c>
    </row>
    <row r="59" spans="1:1" x14ac:dyDescent="0.25">
      <c r="A59" t="s">
        <v>114</v>
      </c>
    </row>
    <row r="60" spans="1:1" x14ac:dyDescent="0.25">
      <c r="A60" t="s">
        <v>115</v>
      </c>
    </row>
    <row r="61" spans="1:1" x14ac:dyDescent="0.25">
      <c r="A61" t="s">
        <v>116</v>
      </c>
    </row>
    <row r="62" spans="1:1" x14ac:dyDescent="0.25">
      <c r="A62" t="s">
        <v>117</v>
      </c>
    </row>
    <row r="63" spans="1:1" x14ac:dyDescent="0.25">
      <c r="A63" t="s">
        <v>118</v>
      </c>
    </row>
    <row r="64" spans="1:1" x14ac:dyDescent="0.25">
      <c r="A64" t="s">
        <v>119</v>
      </c>
    </row>
    <row r="65" spans="1:1" x14ac:dyDescent="0.25">
      <c r="A65" t="s">
        <v>120</v>
      </c>
    </row>
    <row r="66" spans="1:1" x14ac:dyDescent="0.25">
      <c r="A66" t="s">
        <v>121</v>
      </c>
    </row>
    <row r="67" spans="1:1" x14ac:dyDescent="0.25">
      <c r="A67" t="s">
        <v>122</v>
      </c>
    </row>
    <row r="68" spans="1:1" x14ac:dyDescent="0.25">
      <c r="A68" t="s">
        <v>123</v>
      </c>
    </row>
    <row r="69" spans="1:1" x14ac:dyDescent="0.25">
      <c r="A69" t="s">
        <v>124</v>
      </c>
    </row>
    <row r="70" spans="1:1" x14ac:dyDescent="0.25">
      <c r="A70" t="s">
        <v>125</v>
      </c>
    </row>
    <row r="71" spans="1:1" x14ac:dyDescent="0.25">
      <c r="A71" t="s">
        <v>126</v>
      </c>
    </row>
    <row r="72" spans="1:1" x14ac:dyDescent="0.25">
      <c r="A72" t="s">
        <v>127</v>
      </c>
    </row>
    <row r="73" spans="1:1" x14ac:dyDescent="0.25">
      <c r="A73" t="s">
        <v>128</v>
      </c>
    </row>
    <row r="74" spans="1:1" x14ac:dyDescent="0.25">
      <c r="A74" t="s">
        <v>129</v>
      </c>
    </row>
    <row r="75" spans="1:1" x14ac:dyDescent="0.25">
      <c r="A75" t="s">
        <v>130</v>
      </c>
    </row>
    <row r="76" spans="1:1" x14ac:dyDescent="0.25">
      <c r="A76" t="s">
        <v>131</v>
      </c>
    </row>
    <row r="77" spans="1:1" x14ac:dyDescent="0.25">
      <c r="A77" t="s">
        <v>132</v>
      </c>
    </row>
    <row r="78" spans="1:1" x14ac:dyDescent="0.25">
      <c r="A78" t="s">
        <v>133</v>
      </c>
    </row>
    <row r="79" spans="1:1" x14ac:dyDescent="0.25">
      <c r="A79" t="s">
        <v>134</v>
      </c>
    </row>
    <row r="80" spans="1:1" x14ac:dyDescent="0.25">
      <c r="A80" t="s">
        <v>135</v>
      </c>
    </row>
    <row r="81" spans="1:1" x14ac:dyDescent="0.25">
      <c r="A81" t="s">
        <v>136</v>
      </c>
    </row>
    <row r="82" spans="1:1" x14ac:dyDescent="0.25">
      <c r="A82" t="s">
        <v>137</v>
      </c>
    </row>
    <row r="83" spans="1:1" x14ac:dyDescent="0.25">
      <c r="A83" t="s">
        <v>138</v>
      </c>
    </row>
    <row r="84" spans="1:1" x14ac:dyDescent="0.25">
      <c r="A84" t="s">
        <v>139</v>
      </c>
    </row>
    <row r="85" spans="1:1" x14ac:dyDescent="0.25">
      <c r="A85" t="s">
        <v>140</v>
      </c>
    </row>
    <row r="86" spans="1:1" x14ac:dyDescent="0.25">
      <c r="A86" t="s">
        <v>141</v>
      </c>
    </row>
    <row r="87" spans="1:1" x14ac:dyDescent="0.25">
      <c r="A87" t="s">
        <v>142</v>
      </c>
    </row>
    <row r="88" spans="1:1" x14ac:dyDescent="0.25">
      <c r="A88" t="s">
        <v>143</v>
      </c>
    </row>
    <row r="89" spans="1:1" x14ac:dyDescent="0.25">
      <c r="A89" t="s">
        <v>144</v>
      </c>
    </row>
    <row r="90" spans="1:1" x14ac:dyDescent="0.25">
      <c r="A90" t="s">
        <v>145</v>
      </c>
    </row>
    <row r="91" spans="1:1" x14ac:dyDescent="0.25">
      <c r="A91" t="s">
        <v>146</v>
      </c>
    </row>
    <row r="92" spans="1:1" x14ac:dyDescent="0.25">
      <c r="A92" t="s">
        <v>147</v>
      </c>
    </row>
    <row r="93" spans="1:1" x14ac:dyDescent="0.25">
      <c r="A93" t="s">
        <v>148</v>
      </c>
    </row>
    <row r="94" spans="1:1" x14ac:dyDescent="0.25">
      <c r="A94" t="s">
        <v>149</v>
      </c>
    </row>
    <row r="95" spans="1:1" x14ac:dyDescent="0.25">
      <c r="A95" t="s">
        <v>150</v>
      </c>
    </row>
    <row r="96" spans="1:1" x14ac:dyDescent="0.25">
      <c r="A96" t="s">
        <v>151</v>
      </c>
    </row>
    <row r="97" spans="1:1" x14ac:dyDescent="0.25">
      <c r="A97" t="s">
        <v>152</v>
      </c>
    </row>
    <row r="98" spans="1:1" x14ac:dyDescent="0.25">
      <c r="A98" t="s">
        <v>153</v>
      </c>
    </row>
    <row r="99" spans="1:1" x14ac:dyDescent="0.25">
      <c r="A99" t="s">
        <v>154</v>
      </c>
    </row>
    <row r="100" spans="1:1" x14ac:dyDescent="0.25">
      <c r="A100" t="s">
        <v>155</v>
      </c>
    </row>
    <row r="101" spans="1:1" x14ac:dyDescent="0.25">
      <c r="A101" t="s">
        <v>156</v>
      </c>
    </row>
    <row r="102" spans="1:1" x14ac:dyDescent="0.25">
      <c r="A102" t="s">
        <v>157</v>
      </c>
    </row>
    <row r="103" spans="1:1" x14ac:dyDescent="0.25">
      <c r="A103" t="s">
        <v>158</v>
      </c>
    </row>
    <row r="104" spans="1:1" x14ac:dyDescent="0.25">
      <c r="A104" t="s">
        <v>159</v>
      </c>
    </row>
    <row r="105" spans="1:1" x14ac:dyDescent="0.25">
      <c r="A105" t="s">
        <v>160</v>
      </c>
    </row>
    <row r="106" spans="1:1" x14ac:dyDescent="0.25">
      <c r="A106" t="s">
        <v>161</v>
      </c>
    </row>
    <row r="107" spans="1:1" x14ac:dyDescent="0.25">
      <c r="A107" t="s">
        <v>162</v>
      </c>
    </row>
    <row r="108" spans="1:1" x14ac:dyDescent="0.25">
      <c r="A108" t="s">
        <v>163</v>
      </c>
    </row>
    <row r="109" spans="1:1" x14ac:dyDescent="0.25">
      <c r="A109" t="s">
        <v>164</v>
      </c>
    </row>
    <row r="110" spans="1:1" x14ac:dyDescent="0.25">
      <c r="A110" t="s">
        <v>165</v>
      </c>
    </row>
    <row r="111" spans="1:1" x14ac:dyDescent="0.25">
      <c r="A111" t="s">
        <v>166</v>
      </c>
    </row>
    <row r="112" spans="1:1" x14ac:dyDescent="0.25">
      <c r="A112" t="s">
        <v>167</v>
      </c>
    </row>
    <row r="113" spans="1:1" x14ac:dyDescent="0.25">
      <c r="A113" t="s">
        <v>168</v>
      </c>
    </row>
    <row r="114" spans="1:1" x14ac:dyDescent="0.25">
      <c r="A114" t="s">
        <v>169</v>
      </c>
    </row>
    <row r="115" spans="1:1" x14ac:dyDescent="0.25">
      <c r="A115" t="s">
        <v>170</v>
      </c>
    </row>
    <row r="116" spans="1:1" x14ac:dyDescent="0.25">
      <c r="A116" t="s">
        <v>171</v>
      </c>
    </row>
    <row r="117" spans="1:1" x14ac:dyDescent="0.25">
      <c r="A117" t="s">
        <v>172</v>
      </c>
    </row>
    <row r="118" spans="1:1" x14ac:dyDescent="0.25">
      <c r="A118" t="s">
        <v>173</v>
      </c>
    </row>
    <row r="119" spans="1:1" x14ac:dyDescent="0.25">
      <c r="A119" t="s">
        <v>174</v>
      </c>
    </row>
    <row r="120" spans="1:1" x14ac:dyDescent="0.25">
      <c r="A120" t="s">
        <v>175</v>
      </c>
    </row>
    <row r="121" spans="1:1" x14ac:dyDescent="0.25">
      <c r="A121" t="s">
        <v>176</v>
      </c>
    </row>
    <row r="122" spans="1:1" x14ac:dyDescent="0.25">
      <c r="A122" t="s">
        <v>177</v>
      </c>
    </row>
    <row r="123" spans="1:1" x14ac:dyDescent="0.25">
      <c r="A123" t="s">
        <v>178</v>
      </c>
    </row>
    <row r="124" spans="1:1" x14ac:dyDescent="0.25">
      <c r="A124" t="s">
        <v>179</v>
      </c>
    </row>
    <row r="125" spans="1:1" x14ac:dyDescent="0.25">
      <c r="A125" t="s">
        <v>180</v>
      </c>
    </row>
    <row r="126" spans="1:1" x14ac:dyDescent="0.25">
      <c r="A126" t="s">
        <v>181</v>
      </c>
    </row>
    <row r="127" spans="1:1" x14ac:dyDescent="0.25">
      <c r="A127" t="s">
        <v>182</v>
      </c>
    </row>
    <row r="128" spans="1:1" x14ac:dyDescent="0.25">
      <c r="A128" t="s">
        <v>183</v>
      </c>
    </row>
    <row r="129" spans="1:1" x14ac:dyDescent="0.25">
      <c r="A129" t="s">
        <v>184</v>
      </c>
    </row>
    <row r="130" spans="1:1" x14ac:dyDescent="0.25">
      <c r="A130" t="s">
        <v>185</v>
      </c>
    </row>
    <row r="131" spans="1:1" x14ac:dyDescent="0.25">
      <c r="A131" t="s">
        <v>186</v>
      </c>
    </row>
    <row r="132" spans="1:1" x14ac:dyDescent="0.25">
      <c r="A132" t="s">
        <v>187</v>
      </c>
    </row>
    <row r="133" spans="1:1" x14ac:dyDescent="0.25">
      <c r="A133" t="s">
        <v>188</v>
      </c>
    </row>
    <row r="134" spans="1:1" x14ac:dyDescent="0.25">
      <c r="A134" t="s">
        <v>189</v>
      </c>
    </row>
    <row r="135" spans="1:1" x14ac:dyDescent="0.25">
      <c r="A135" t="s">
        <v>190</v>
      </c>
    </row>
    <row r="136" spans="1:1" x14ac:dyDescent="0.25">
      <c r="A136" t="s">
        <v>191</v>
      </c>
    </row>
    <row r="137" spans="1:1" x14ac:dyDescent="0.25">
      <c r="A137" t="s">
        <v>192</v>
      </c>
    </row>
    <row r="138" spans="1:1" x14ac:dyDescent="0.25">
      <c r="A138" t="s">
        <v>193</v>
      </c>
    </row>
    <row r="139" spans="1:1" x14ac:dyDescent="0.25">
      <c r="A139" t="s">
        <v>194</v>
      </c>
    </row>
    <row r="140" spans="1:1" x14ac:dyDescent="0.25">
      <c r="A140" t="s">
        <v>195</v>
      </c>
    </row>
    <row r="141" spans="1:1" x14ac:dyDescent="0.25">
      <c r="A141" t="s">
        <v>196</v>
      </c>
    </row>
    <row r="142" spans="1:1" x14ac:dyDescent="0.25">
      <c r="A142" t="s">
        <v>197</v>
      </c>
    </row>
    <row r="143" spans="1:1" x14ac:dyDescent="0.25">
      <c r="A143" t="s">
        <v>198</v>
      </c>
    </row>
    <row r="144" spans="1:1" x14ac:dyDescent="0.25">
      <c r="A144" t="s">
        <v>199</v>
      </c>
    </row>
    <row r="145" spans="1:1" x14ac:dyDescent="0.25">
      <c r="A145" t="s">
        <v>200</v>
      </c>
    </row>
    <row r="146" spans="1:1" x14ac:dyDescent="0.25">
      <c r="A146" t="s">
        <v>201</v>
      </c>
    </row>
    <row r="147" spans="1:1" x14ac:dyDescent="0.25">
      <c r="A147" t="s">
        <v>202</v>
      </c>
    </row>
    <row r="148" spans="1:1" x14ac:dyDescent="0.25">
      <c r="A148" t="s">
        <v>203</v>
      </c>
    </row>
    <row r="149" spans="1:1" x14ac:dyDescent="0.25">
      <c r="A149" t="s">
        <v>204</v>
      </c>
    </row>
    <row r="150" spans="1:1" x14ac:dyDescent="0.25">
      <c r="A150" t="s">
        <v>205</v>
      </c>
    </row>
    <row r="151" spans="1:1" x14ac:dyDescent="0.25">
      <c r="A151" t="s">
        <v>206</v>
      </c>
    </row>
    <row r="152" spans="1:1" x14ac:dyDescent="0.25">
      <c r="A152" t="s">
        <v>207</v>
      </c>
    </row>
    <row r="153" spans="1:1" x14ac:dyDescent="0.25">
      <c r="A153" t="s">
        <v>208</v>
      </c>
    </row>
    <row r="154" spans="1:1" x14ac:dyDescent="0.25">
      <c r="A154" t="s">
        <v>209</v>
      </c>
    </row>
    <row r="155" spans="1:1" x14ac:dyDescent="0.25">
      <c r="A155" t="s">
        <v>210</v>
      </c>
    </row>
    <row r="156" spans="1:1" x14ac:dyDescent="0.25">
      <c r="A156" t="s">
        <v>211</v>
      </c>
    </row>
    <row r="157" spans="1:1" x14ac:dyDescent="0.25">
      <c r="A157" t="s">
        <v>212</v>
      </c>
    </row>
    <row r="158" spans="1:1" x14ac:dyDescent="0.25">
      <c r="A158" t="s">
        <v>213</v>
      </c>
    </row>
    <row r="159" spans="1:1" x14ac:dyDescent="0.25">
      <c r="A159" t="s">
        <v>214</v>
      </c>
    </row>
    <row r="160" spans="1:1" x14ac:dyDescent="0.25">
      <c r="A160" t="s">
        <v>215</v>
      </c>
    </row>
    <row r="161" spans="1:1" x14ac:dyDescent="0.25">
      <c r="A161" t="s">
        <v>216</v>
      </c>
    </row>
    <row r="162" spans="1:1" x14ac:dyDescent="0.25">
      <c r="A162" t="s">
        <v>217</v>
      </c>
    </row>
    <row r="163" spans="1:1" x14ac:dyDescent="0.25">
      <c r="A163" t="s">
        <v>218</v>
      </c>
    </row>
    <row r="164" spans="1:1" x14ac:dyDescent="0.25">
      <c r="A164" t="s">
        <v>219</v>
      </c>
    </row>
    <row r="165" spans="1:1" x14ac:dyDescent="0.25">
      <c r="A165" t="s">
        <v>220</v>
      </c>
    </row>
    <row r="166" spans="1:1" x14ac:dyDescent="0.25">
      <c r="A166" t="s">
        <v>221</v>
      </c>
    </row>
    <row r="167" spans="1:1" x14ac:dyDescent="0.25">
      <c r="A167" t="s">
        <v>222</v>
      </c>
    </row>
    <row r="168" spans="1:1" x14ac:dyDescent="0.25">
      <c r="A168" t="s">
        <v>223</v>
      </c>
    </row>
    <row r="169" spans="1:1" x14ac:dyDescent="0.25">
      <c r="A169" t="s">
        <v>224</v>
      </c>
    </row>
    <row r="170" spans="1:1" x14ac:dyDescent="0.25">
      <c r="A170" t="s">
        <v>225</v>
      </c>
    </row>
    <row r="171" spans="1:1" x14ac:dyDescent="0.25">
      <c r="A171" t="s">
        <v>226</v>
      </c>
    </row>
    <row r="172" spans="1:1" x14ac:dyDescent="0.25">
      <c r="A172" t="s">
        <v>227</v>
      </c>
    </row>
    <row r="173" spans="1:1" x14ac:dyDescent="0.25">
      <c r="A173" t="s">
        <v>228</v>
      </c>
    </row>
    <row r="174" spans="1:1" x14ac:dyDescent="0.25">
      <c r="A174" t="s">
        <v>229</v>
      </c>
    </row>
    <row r="175" spans="1:1" x14ac:dyDescent="0.25">
      <c r="A175" t="s">
        <v>230</v>
      </c>
    </row>
    <row r="176" spans="1:1" x14ac:dyDescent="0.25">
      <c r="A176" t="s">
        <v>231</v>
      </c>
    </row>
    <row r="177" spans="1:1" x14ac:dyDescent="0.25">
      <c r="A177" t="s">
        <v>232</v>
      </c>
    </row>
    <row r="178" spans="1:1" x14ac:dyDescent="0.25">
      <c r="A178" t="s">
        <v>233</v>
      </c>
    </row>
    <row r="179" spans="1:1" x14ac:dyDescent="0.25">
      <c r="A179" t="s">
        <v>234</v>
      </c>
    </row>
    <row r="180" spans="1:1" x14ac:dyDescent="0.25">
      <c r="A180" t="s">
        <v>235</v>
      </c>
    </row>
    <row r="181" spans="1:1" x14ac:dyDescent="0.25">
      <c r="A181" t="s">
        <v>236</v>
      </c>
    </row>
    <row r="182" spans="1:1" x14ac:dyDescent="0.25">
      <c r="A182" t="s">
        <v>237</v>
      </c>
    </row>
    <row r="183" spans="1:1" x14ac:dyDescent="0.25">
      <c r="A183" t="s">
        <v>238</v>
      </c>
    </row>
    <row r="184" spans="1:1" x14ac:dyDescent="0.25">
      <c r="A184" t="s">
        <v>239</v>
      </c>
    </row>
    <row r="185" spans="1:1" x14ac:dyDescent="0.25">
      <c r="A185" t="s">
        <v>240</v>
      </c>
    </row>
    <row r="186" spans="1:1" x14ac:dyDescent="0.25">
      <c r="A186" t="s">
        <v>241</v>
      </c>
    </row>
    <row r="187" spans="1:1" x14ac:dyDescent="0.25">
      <c r="A187" t="s">
        <v>242</v>
      </c>
    </row>
    <row r="188" spans="1:1" x14ac:dyDescent="0.25">
      <c r="A188" t="s">
        <v>243</v>
      </c>
    </row>
    <row r="189" spans="1:1" x14ac:dyDescent="0.25">
      <c r="A189" t="s">
        <v>244</v>
      </c>
    </row>
    <row r="190" spans="1:1" x14ac:dyDescent="0.25">
      <c r="A190" t="s">
        <v>245</v>
      </c>
    </row>
    <row r="191" spans="1:1" x14ac:dyDescent="0.25">
      <c r="A191" t="s">
        <v>246</v>
      </c>
    </row>
    <row r="192" spans="1:1" x14ac:dyDescent="0.25">
      <c r="A192" t="s">
        <v>247</v>
      </c>
    </row>
    <row r="193" spans="1:1" x14ac:dyDescent="0.25">
      <c r="A193" t="s">
        <v>248</v>
      </c>
    </row>
    <row r="194" spans="1:1" x14ac:dyDescent="0.25">
      <c r="A194" t="s">
        <v>249</v>
      </c>
    </row>
    <row r="195" spans="1:1" x14ac:dyDescent="0.25">
      <c r="A195" t="s">
        <v>250</v>
      </c>
    </row>
    <row r="196" spans="1:1" x14ac:dyDescent="0.25">
      <c r="A196" t="s">
        <v>251</v>
      </c>
    </row>
    <row r="197" spans="1:1" x14ac:dyDescent="0.25">
      <c r="A197" t="s">
        <v>252</v>
      </c>
    </row>
    <row r="198" spans="1:1" x14ac:dyDescent="0.25">
      <c r="A198" t="s">
        <v>253</v>
      </c>
    </row>
    <row r="199" spans="1:1" x14ac:dyDescent="0.25">
      <c r="A199" t="s">
        <v>254</v>
      </c>
    </row>
    <row r="200" spans="1:1" x14ac:dyDescent="0.25">
      <c r="A200" t="s">
        <v>255</v>
      </c>
    </row>
    <row r="201" spans="1:1" x14ac:dyDescent="0.25">
      <c r="A201" t="s">
        <v>256</v>
      </c>
    </row>
    <row r="202" spans="1:1" x14ac:dyDescent="0.25">
      <c r="A202" t="s">
        <v>257</v>
      </c>
    </row>
    <row r="203" spans="1:1" x14ac:dyDescent="0.25">
      <c r="A203" t="s">
        <v>258</v>
      </c>
    </row>
    <row r="204" spans="1:1" x14ac:dyDescent="0.25">
      <c r="A204" t="s">
        <v>259</v>
      </c>
    </row>
    <row r="205" spans="1:1" x14ac:dyDescent="0.25">
      <c r="A205" t="s">
        <v>260</v>
      </c>
    </row>
    <row r="206" spans="1:1" x14ac:dyDescent="0.25">
      <c r="A206" t="s">
        <v>261</v>
      </c>
    </row>
    <row r="207" spans="1:1" x14ac:dyDescent="0.25">
      <c r="A207" t="s">
        <v>262</v>
      </c>
    </row>
    <row r="208" spans="1:1" x14ac:dyDescent="0.25">
      <c r="A208" t="s">
        <v>263</v>
      </c>
    </row>
    <row r="209" spans="1:1" x14ac:dyDescent="0.25">
      <c r="A209" t="s">
        <v>264</v>
      </c>
    </row>
    <row r="210" spans="1:1" x14ac:dyDescent="0.25">
      <c r="A210" t="s">
        <v>265</v>
      </c>
    </row>
    <row r="211" spans="1:1" x14ac:dyDescent="0.25">
      <c r="A211" t="s">
        <v>266</v>
      </c>
    </row>
    <row r="212" spans="1:1" x14ac:dyDescent="0.25">
      <c r="A212" t="s">
        <v>267</v>
      </c>
    </row>
    <row r="213" spans="1:1" x14ac:dyDescent="0.25">
      <c r="A213" t="s">
        <v>268</v>
      </c>
    </row>
    <row r="214" spans="1:1" x14ac:dyDescent="0.25">
      <c r="A214" t="s">
        <v>269</v>
      </c>
    </row>
    <row r="215" spans="1:1" x14ac:dyDescent="0.25">
      <c r="A215" t="s">
        <v>270</v>
      </c>
    </row>
    <row r="216" spans="1:1" x14ac:dyDescent="0.25">
      <c r="A216" t="s">
        <v>271</v>
      </c>
    </row>
    <row r="217" spans="1:1" x14ac:dyDescent="0.25">
      <c r="A217" t="s">
        <v>272</v>
      </c>
    </row>
    <row r="218" spans="1:1" x14ac:dyDescent="0.25">
      <c r="A218" t="s">
        <v>273</v>
      </c>
    </row>
    <row r="219" spans="1:1" x14ac:dyDescent="0.25">
      <c r="A219" t="s">
        <v>274</v>
      </c>
    </row>
    <row r="220" spans="1:1" x14ac:dyDescent="0.25">
      <c r="A220" t="s">
        <v>275</v>
      </c>
    </row>
    <row r="221" spans="1:1" x14ac:dyDescent="0.25">
      <c r="A221" t="s">
        <v>276</v>
      </c>
    </row>
    <row r="222" spans="1:1" x14ac:dyDescent="0.25">
      <c r="A222" t="s">
        <v>277</v>
      </c>
    </row>
    <row r="223" spans="1:1" x14ac:dyDescent="0.25">
      <c r="A223" t="s">
        <v>278</v>
      </c>
    </row>
    <row r="224" spans="1:1" x14ac:dyDescent="0.25">
      <c r="A224" t="s">
        <v>279</v>
      </c>
    </row>
    <row r="225" spans="1:1" x14ac:dyDescent="0.25">
      <c r="A225" t="s">
        <v>280</v>
      </c>
    </row>
    <row r="226" spans="1:1" x14ac:dyDescent="0.25">
      <c r="A226" t="s">
        <v>281</v>
      </c>
    </row>
    <row r="227" spans="1:1" x14ac:dyDescent="0.25">
      <c r="A227" t="s">
        <v>282</v>
      </c>
    </row>
    <row r="228" spans="1:1" x14ac:dyDescent="0.25">
      <c r="A228" t="s">
        <v>283</v>
      </c>
    </row>
    <row r="229" spans="1:1" x14ac:dyDescent="0.25">
      <c r="A229" t="s">
        <v>284</v>
      </c>
    </row>
    <row r="230" spans="1:1" x14ac:dyDescent="0.25">
      <c r="A230" t="s">
        <v>285</v>
      </c>
    </row>
    <row r="231" spans="1:1" x14ac:dyDescent="0.25">
      <c r="A231" t="s">
        <v>286</v>
      </c>
    </row>
    <row r="232" spans="1:1" x14ac:dyDescent="0.25">
      <c r="A232" t="s">
        <v>287</v>
      </c>
    </row>
    <row r="233" spans="1:1" x14ac:dyDescent="0.25">
      <c r="A233" t="s">
        <v>288</v>
      </c>
    </row>
    <row r="234" spans="1:1" x14ac:dyDescent="0.25">
      <c r="A234" t="s">
        <v>289</v>
      </c>
    </row>
    <row r="235" spans="1:1" x14ac:dyDescent="0.25">
      <c r="A235" t="s">
        <v>290</v>
      </c>
    </row>
    <row r="236" spans="1:1" x14ac:dyDescent="0.25">
      <c r="A236" t="s">
        <v>291</v>
      </c>
    </row>
    <row r="237" spans="1:1" x14ac:dyDescent="0.25">
      <c r="A237" t="s">
        <v>292</v>
      </c>
    </row>
    <row r="238" spans="1:1" x14ac:dyDescent="0.25">
      <c r="A238" t="s">
        <v>293</v>
      </c>
    </row>
    <row r="239" spans="1:1" x14ac:dyDescent="0.25">
      <c r="A239" t="s">
        <v>294</v>
      </c>
    </row>
    <row r="240" spans="1:1" x14ac:dyDescent="0.25">
      <c r="A240" t="s">
        <v>295</v>
      </c>
    </row>
    <row r="241" spans="1:1" x14ac:dyDescent="0.25">
      <c r="A241" t="s">
        <v>296</v>
      </c>
    </row>
    <row r="242" spans="1:1" x14ac:dyDescent="0.25">
      <c r="A242" t="s">
        <v>297</v>
      </c>
    </row>
    <row r="243" spans="1:1" x14ac:dyDescent="0.25">
      <c r="A243" t="s">
        <v>298</v>
      </c>
    </row>
    <row r="244" spans="1:1" x14ac:dyDescent="0.25">
      <c r="A244" t="s">
        <v>299</v>
      </c>
    </row>
    <row r="245" spans="1:1" x14ac:dyDescent="0.25">
      <c r="A245" t="s">
        <v>300</v>
      </c>
    </row>
    <row r="246" spans="1:1" x14ac:dyDescent="0.25">
      <c r="A246" t="s">
        <v>301</v>
      </c>
    </row>
    <row r="247" spans="1:1" x14ac:dyDescent="0.25">
      <c r="A247" t="s">
        <v>302</v>
      </c>
    </row>
    <row r="248" spans="1:1" x14ac:dyDescent="0.25">
      <c r="A248" t="s">
        <v>303</v>
      </c>
    </row>
    <row r="249" spans="1:1" x14ac:dyDescent="0.25">
      <c r="A249" t="s">
        <v>304</v>
      </c>
    </row>
    <row r="250" spans="1:1" x14ac:dyDescent="0.25">
      <c r="A250" t="s">
        <v>305</v>
      </c>
    </row>
    <row r="251" spans="1:1" x14ac:dyDescent="0.25">
      <c r="A251" t="s">
        <v>306</v>
      </c>
    </row>
    <row r="252" spans="1:1" x14ac:dyDescent="0.25">
      <c r="A252" t="s">
        <v>307</v>
      </c>
    </row>
    <row r="253" spans="1:1" x14ac:dyDescent="0.25">
      <c r="A253" t="s">
        <v>308</v>
      </c>
    </row>
    <row r="254" spans="1:1" x14ac:dyDescent="0.25">
      <c r="A254" t="s">
        <v>309</v>
      </c>
    </row>
    <row r="255" spans="1:1" x14ac:dyDescent="0.25">
      <c r="A255" t="s">
        <v>310</v>
      </c>
    </row>
    <row r="256" spans="1:1" x14ac:dyDescent="0.25">
      <c r="A256" t="s">
        <v>311</v>
      </c>
    </row>
    <row r="257" spans="1:1" x14ac:dyDescent="0.25">
      <c r="A257" t="s">
        <v>312</v>
      </c>
    </row>
    <row r="258" spans="1:1" x14ac:dyDescent="0.25">
      <c r="A258" t="s">
        <v>313</v>
      </c>
    </row>
    <row r="259" spans="1:1" x14ac:dyDescent="0.25">
      <c r="A259" t="s">
        <v>314</v>
      </c>
    </row>
    <row r="260" spans="1:1" x14ac:dyDescent="0.25">
      <c r="A260" t="s">
        <v>315</v>
      </c>
    </row>
    <row r="261" spans="1:1" x14ac:dyDescent="0.25">
      <c r="A261" t="s">
        <v>316</v>
      </c>
    </row>
    <row r="262" spans="1:1" x14ac:dyDescent="0.25">
      <c r="A262" t="s">
        <v>317</v>
      </c>
    </row>
    <row r="263" spans="1:1" x14ac:dyDescent="0.25">
      <c r="A263" t="s">
        <v>318</v>
      </c>
    </row>
    <row r="264" spans="1:1" x14ac:dyDescent="0.25">
      <c r="A264" t="s">
        <v>319</v>
      </c>
    </row>
    <row r="265" spans="1:1" x14ac:dyDescent="0.25">
      <c r="A265" t="s">
        <v>320</v>
      </c>
    </row>
    <row r="266" spans="1:1" x14ac:dyDescent="0.25">
      <c r="A266" t="s">
        <v>321</v>
      </c>
    </row>
    <row r="267" spans="1:1" x14ac:dyDescent="0.25">
      <c r="A267" t="s">
        <v>322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E15" sqref="E15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style="5" customWidth="1"/>
    <col min="6" max="6" width="38.7109375" customWidth="1"/>
    <col min="7" max="7" width="79.42578125" style="67" customWidth="1"/>
  </cols>
  <sheetData>
    <row r="1" spans="1:7" ht="15.75" x14ac:dyDescent="0.25">
      <c r="A1" s="12" t="s">
        <v>31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8"/>
    </row>
    <row r="5" spans="1:7" s="15" customFormat="1" ht="30" x14ac:dyDescent="0.25">
      <c r="A5" s="138">
        <v>0</v>
      </c>
      <c r="B5" s="260" t="s">
        <v>6</v>
      </c>
      <c r="C5" s="139" t="s">
        <v>340</v>
      </c>
      <c r="D5" s="140"/>
      <c r="E5" s="141">
        <v>0</v>
      </c>
      <c r="F5" s="142"/>
      <c r="G5" s="67"/>
    </row>
    <row r="6" spans="1:7" s="15" customFormat="1" ht="30" x14ac:dyDescent="0.25">
      <c r="A6" s="143">
        <v>1</v>
      </c>
      <c r="B6" s="261"/>
      <c r="C6" s="144" t="s">
        <v>47</v>
      </c>
      <c r="D6" s="145" t="s">
        <v>28</v>
      </c>
      <c r="E6" s="146">
        <v>1</v>
      </c>
      <c r="F6" s="147"/>
      <c r="G6" s="67"/>
    </row>
    <row r="7" spans="1:7" s="15" customFormat="1" ht="30" x14ac:dyDescent="0.25">
      <c r="A7" s="148">
        <v>2</v>
      </c>
      <c r="B7" s="262"/>
      <c r="C7" s="149" t="s">
        <v>370</v>
      </c>
      <c r="D7" s="150" t="s">
        <v>29</v>
      </c>
      <c r="E7" s="151">
        <v>0</v>
      </c>
      <c r="F7" s="152"/>
      <c r="G7" s="67"/>
    </row>
    <row r="8" spans="1:7" s="15" customFormat="1" ht="30" x14ac:dyDescent="0.25">
      <c r="A8" s="138">
        <v>0</v>
      </c>
      <c r="B8" s="260" t="s">
        <v>7</v>
      </c>
      <c r="C8" s="139" t="s">
        <v>341</v>
      </c>
      <c r="D8" s="153"/>
      <c r="E8" s="141">
        <v>0</v>
      </c>
      <c r="F8" s="142"/>
      <c r="G8" s="67"/>
    </row>
    <row r="9" spans="1:7" s="15" customFormat="1" ht="30" x14ac:dyDescent="0.25">
      <c r="A9" s="143">
        <v>1</v>
      </c>
      <c r="B9" s="261"/>
      <c r="C9" s="144" t="s">
        <v>48</v>
      </c>
      <c r="D9" s="145" t="s">
        <v>28</v>
      </c>
      <c r="E9" s="146">
        <v>0</v>
      </c>
      <c r="F9" s="147"/>
      <c r="G9" s="67"/>
    </row>
    <row r="10" spans="1:7" s="15" customFormat="1" ht="30" x14ac:dyDescent="0.25">
      <c r="A10" s="148">
        <v>2</v>
      </c>
      <c r="B10" s="262"/>
      <c r="C10" s="149" t="s">
        <v>371</v>
      </c>
      <c r="D10" s="150" t="s">
        <v>29</v>
      </c>
      <c r="E10" s="151">
        <v>0</v>
      </c>
      <c r="F10" s="152"/>
      <c r="G10" s="67"/>
    </row>
    <row r="11" spans="1:7" s="15" customFormat="1" ht="30" x14ac:dyDescent="0.25">
      <c r="A11" s="138">
        <v>0</v>
      </c>
      <c r="B11" s="260" t="s">
        <v>8</v>
      </c>
      <c r="C11" s="154" t="s">
        <v>345</v>
      </c>
      <c r="D11" s="153" t="s">
        <v>467</v>
      </c>
      <c r="E11" s="141">
        <v>1</v>
      </c>
      <c r="F11" s="142"/>
      <c r="G11" s="67"/>
    </row>
    <row r="12" spans="1:7" s="15" customFormat="1" ht="30" x14ac:dyDescent="0.25">
      <c r="A12" s="143">
        <v>1</v>
      </c>
      <c r="B12" s="261"/>
      <c r="C12" s="155" t="s">
        <v>347</v>
      </c>
      <c r="D12" s="145" t="s">
        <v>30</v>
      </c>
      <c r="E12" s="146">
        <v>0</v>
      </c>
      <c r="F12" s="147"/>
      <c r="G12" s="67"/>
    </row>
    <row r="13" spans="1:7" s="15" customFormat="1" ht="30" x14ac:dyDescent="0.25">
      <c r="A13" s="143">
        <v>1</v>
      </c>
      <c r="B13" s="261"/>
      <c r="C13" s="155" t="s">
        <v>348</v>
      </c>
      <c r="D13" s="145" t="s">
        <v>5</v>
      </c>
      <c r="E13" s="146">
        <v>0</v>
      </c>
      <c r="F13" s="147"/>
      <c r="G13" s="67"/>
    </row>
    <row r="14" spans="1:7" s="15" customFormat="1" x14ac:dyDescent="0.25">
      <c r="A14" s="143">
        <v>1</v>
      </c>
      <c r="B14" s="261"/>
      <c r="C14" s="155" t="s">
        <v>349</v>
      </c>
      <c r="D14" s="145"/>
      <c r="E14" s="146">
        <v>1</v>
      </c>
      <c r="F14" s="147"/>
      <c r="G14" s="67"/>
    </row>
    <row r="15" spans="1:7" s="15" customFormat="1" x14ac:dyDescent="0.25">
      <c r="A15" s="143">
        <v>1</v>
      </c>
      <c r="B15" s="261"/>
      <c r="C15" s="155" t="s">
        <v>350</v>
      </c>
      <c r="D15" s="145"/>
      <c r="E15" s="146">
        <v>1</v>
      </c>
      <c r="F15" s="147"/>
      <c r="G15" s="67"/>
    </row>
    <row r="16" spans="1:7" s="15" customFormat="1" ht="30" x14ac:dyDescent="0.25">
      <c r="A16" s="143">
        <v>1</v>
      </c>
      <c r="B16" s="261"/>
      <c r="C16" s="155" t="s">
        <v>351</v>
      </c>
      <c r="D16" s="145"/>
      <c r="E16" s="146">
        <v>0</v>
      </c>
      <c r="F16" s="147"/>
      <c r="G16" s="67"/>
    </row>
    <row r="17" spans="1:7" s="15" customFormat="1" x14ac:dyDescent="0.25">
      <c r="A17" s="143">
        <v>1</v>
      </c>
      <c r="B17" s="261"/>
      <c r="C17" s="155" t="s">
        <v>352</v>
      </c>
      <c r="D17" s="145"/>
      <c r="E17" s="146">
        <v>0</v>
      </c>
      <c r="F17" s="147"/>
      <c r="G17" s="67"/>
    </row>
    <row r="18" spans="1:7" s="15" customFormat="1" ht="45" x14ac:dyDescent="0.25">
      <c r="A18" s="143">
        <v>2</v>
      </c>
      <c r="B18" s="261"/>
      <c r="C18" s="155" t="s">
        <v>372</v>
      </c>
      <c r="D18" s="145"/>
      <c r="E18" s="146">
        <v>0</v>
      </c>
      <c r="F18" s="147"/>
      <c r="G18" s="67"/>
    </row>
    <row r="19" spans="1:7" s="15" customFormat="1" ht="30" x14ac:dyDescent="0.25">
      <c r="A19" s="148">
        <v>4</v>
      </c>
      <c r="B19" s="262"/>
      <c r="C19" s="156" t="s">
        <v>417</v>
      </c>
      <c r="D19" s="150"/>
      <c r="E19" s="151">
        <v>0</v>
      </c>
      <c r="F19" s="152"/>
      <c r="G19" s="67"/>
    </row>
    <row r="20" spans="1:7" s="15" customFormat="1" x14ac:dyDescent="0.25">
      <c r="B20" s="9"/>
      <c r="C20" s="9"/>
      <c r="D20" s="9"/>
      <c r="G20" s="67"/>
    </row>
    <row r="21" spans="1:7" x14ac:dyDescent="0.25">
      <c r="E21" s="23"/>
    </row>
  </sheetData>
  <sheetProtection algorithmName="SHA-512" hashValue="B+xH36pTxz3p8ND5NlOvMokxHH9i0fo/H1PGuNKyRuDDMNVYQGVpNWklavOoUVca/IJ724Zgf9ZoR4syhI86UQ==" saltValue="DTz2FSmPN71VfCmWiYeKQw==" spinCount="100000" sheet="1" objects="1" scenarios="1" formatColumns="0"/>
  <mergeCells count="3">
    <mergeCell ref="B5:B7"/>
    <mergeCell ref="B8:B10"/>
    <mergeCell ref="B11:B19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showGridLines="0" workbookViewId="0">
      <selection activeCell="F15" sqref="F15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customWidth="1"/>
    <col min="6" max="6" width="38.7109375" customWidth="1"/>
    <col min="7" max="7" width="66.42578125" style="67" customWidth="1"/>
  </cols>
  <sheetData>
    <row r="1" spans="1:7" ht="15.75" x14ac:dyDescent="0.25">
      <c r="A1" s="12" t="s">
        <v>32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47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x14ac:dyDescent="0.25">
      <c r="A5" s="138">
        <v>1</v>
      </c>
      <c r="B5" s="260" t="s">
        <v>9</v>
      </c>
      <c r="C5" s="139" t="s">
        <v>353</v>
      </c>
      <c r="D5" s="140"/>
      <c r="E5" s="141">
        <v>1</v>
      </c>
      <c r="F5" s="142"/>
    </row>
    <row r="6" spans="1:7" x14ac:dyDescent="0.25">
      <c r="A6" s="143">
        <v>1</v>
      </c>
      <c r="B6" s="261"/>
      <c r="C6" s="144" t="s">
        <v>354</v>
      </c>
      <c r="D6" s="157"/>
      <c r="E6" s="146">
        <v>1</v>
      </c>
      <c r="F6" s="147"/>
    </row>
    <row r="7" spans="1:7" ht="30" x14ac:dyDescent="0.25">
      <c r="A7" s="143">
        <v>1</v>
      </c>
      <c r="B7" s="261"/>
      <c r="C7" s="144" t="s">
        <v>355</v>
      </c>
      <c r="D7" s="157"/>
      <c r="E7" s="146">
        <v>0</v>
      </c>
      <c r="F7" s="147"/>
    </row>
    <row r="8" spans="1:7" ht="30" x14ac:dyDescent="0.25">
      <c r="A8" s="143">
        <v>1</v>
      </c>
      <c r="B8" s="261"/>
      <c r="C8" s="144" t="s">
        <v>356</v>
      </c>
      <c r="D8" s="157"/>
      <c r="E8" s="146">
        <v>1</v>
      </c>
      <c r="F8" s="147"/>
    </row>
    <row r="9" spans="1:7" ht="30" x14ac:dyDescent="0.25">
      <c r="A9" s="143">
        <v>1</v>
      </c>
      <c r="B9" s="261"/>
      <c r="C9" s="155" t="s">
        <v>357</v>
      </c>
      <c r="D9" s="157"/>
      <c r="E9" s="146">
        <v>0</v>
      </c>
      <c r="F9" s="147"/>
    </row>
    <row r="10" spans="1:7" ht="30" x14ac:dyDescent="0.25">
      <c r="A10" s="143">
        <v>1</v>
      </c>
      <c r="B10" s="261"/>
      <c r="C10" s="155" t="s">
        <v>21</v>
      </c>
      <c r="D10" s="145" t="s">
        <v>468</v>
      </c>
      <c r="E10" s="146">
        <v>0</v>
      </c>
      <c r="F10" s="147"/>
    </row>
    <row r="11" spans="1:7" ht="30" x14ac:dyDescent="0.25">
      <c r="A11" s="143">
        <v>2</v>
      </c>
      <c r="B11" s="261"/>
      <c r="C11" s="155" t="s">
        <v>373</v>
      </c>
      <c r="D11" s="145" t="s">
        <v>325</v>
      </c>
      <c r="E11" s="146">
        <v>0</v>
      </c>
      <c r="F11" s="147"/>
    </row>
    <row r="12" spans="1:7" ht="45" x14ac:dyDescent="0.25">
      <c r="A12" s="143">
        <v>2</v>
      </c>
      <c r="B12" s="261"/>
      <c r="C12" s="155" t="s">
        <v>374</v>
      </c>
      <c r="D12" s="159" t="s">
        <v>40</v>
      </c>
      <c r="E12" s="146">
        <v>1</v>
      </c>
      <c r="F12" s="147" t="s">
        <v>498</v>
      </c>
    </row>
    <row r="13" spans="1:7" ht="45" x14ac:dyDescent="0.25">
      <c r="A13" s="143">
        <v>2</v>
      </c>
      <c r="B13" s="261"/>
      <c r="C13" s="155" t="s">
        <v>375</v>
      </c>
      <c r="D13" s="159" t="s">
        <v>40</v>
      </c>
      <c r="E13" s="146">
        <v>1</v>
      </c>
      <c r="F13" s="147" t="s">
        <v>498</v>
      </c>
    </row>
    <row r="14" spans="1:7" ht="30" x14ac:dyDescent="0.25">
      <c r="A14" s="143">
        <v>2</v>
      </c>
      <c r="B14" s="261"/>
      <c r="C14" s="155" t="s">
        <v>376</v>
      </c>
      <c r="D14" s="145" t="s">
        <v>469</v>
      </c>
      <c r="E14" s="146">
        <v>0</v>
      </c>
      <c r="F14" s="147"/>
    </row>
    <row r="15" spans="1:7" ht="30" x14ac:dyDescent="0.25">
      <c r="A15" s="143">
        <v>3</v>
      </c>
      <c r="B15" s="261"/>
      <c r="C15" s="155" t="s">
        <v>394</v>
      </c>
      <c r="D15" s="157"/>
      <c r="E15" s="146">
        <v>0</v>
      </c>
      <c r="F15" s="147"/>
    </row>
    <row r="16" spans="1:7" ht="30" x14ac:dyDescent="0.25">
      <c r="A16" s="143">
        <v>3</v>
      </c>
      <c r="B16" s="261"/>
      <c r="C16" s="155" t="s">
        <v>395</v>
      </c>
      <c r="D16" s="157"/>
      <c r="E16" s="146">
        <v>0</v>
      </c>
      <c r="F16" s="147"/>
    </row>
    <row r="17" spans="1:6" ht="30" x14ac:dyDescent="0.25">
      <c r="A17" s="143">
        <v>3</v>
      </c>
      <c r="B17" s="261"/>
      <c r="C17" s="155" t="s">
        <v>396</v>
      </c>
      <c r="D17" s="157"/>
      <c r="E17" s="146">
        <v>0</v>
      </c>
      <c r="F17" s="147"/>
    </row>
    <row r="18" spans="1:6" ht="30" x14ac:dyDescent="0.25">
      <c r="A18" s="143">
        <v>4</v>
      </c>
      <c r="B18" s="261"/>
      <c r="C18" s="155" t="s">
        <v>411</v>
      </c>
      <c r="D18" s="157"/>
      <c r="E18" s="146">
        <v>0</v>
      </c>
      <c r="F18" s="147"/>
    </row>
    <row r="19" spans="1:6" ht="45" x14ac:dyDescent="0.25">
      <c r="A19" s="143">
        <v>4</v>
      </c>
      <c r="B19" s="261"/>
      <c r="C19" s="155" t="s">
        <v>412</v>
      </c>
      <c r="D19" s="157"/>
      <c r="E19" s="146">
        <v>0</v>
      </c>
      <c r="F19" s="147"/>
    </row>
    <row r="20" spans="1:6" x14ac:dyDescent="0.25">
      <c r="A20" s="148">
        <v>5</v>
      </c>
      <c r="B20" s="262"/>
      <c r="C20" s="149" t="s">
        <v>419</v>
      </c>
      <c r="D20" s="158"/>
      <c r="E20" s="151">
        <v>0</v>
      </c>
      <c r="F20" s="152"/>
    </row>
    <row r="21" spans="1:6" ht="45" x14ac:dyDescent="0.25">
      <c r="A21" s="138">
        <v>3</v>
      </c>
      <c r="B21" s="260" t="s">
        <v>10</v>
      </c>
      <c r="C21" s="139" t="s">
        <v>397</v>
      </c>
      <c r="D21" s="140"/>
      <c r="E21" s="141">
        <v>0</v>
      </c>
      <c r="F21" s="142"/>
    </row>
    <row r="22" spans="1:6" ht="30" x14ac:dyDescent="0.25">
      <c r="A22" s="148">
        <v>3</v>
      </c>
      <c r="B22" s="262"/>
      <c r="C22" s="149" t="s">
        <v>398</v>
      </c>
      <c r="D22" s="158"/>
      <c r="E22" s="151">
        <v>0</v>
      </c>
      <c r="F22" s="152"/>
    </row>
    <row r="23" spans="1:6" x14ac:dyDescent="0.25">
      <c r="D23" s="22"/>
      <c r="E23" s="24"/>
      <c r="F23" s="22"/>
    </row>
    <row r="24" spans="1:6" x14ac:dyDescent="0.25">
      <c r="C24" s="3"/>
      <c r="D24" s="21"/>
      <c r="E24" s="23"/>
      <c r="F24" s="21"/>
    </row>
    <row r="25" spans="1:6" x14ac:dyDescent="0.25">
      <c r="C25" s="3"/>
      <c r="D25" s="21"/>
      <c r="E25" s="23"/>
      <c r="F25" s="21"/>
    </row>
    <row r="26" spans="1:6" x14ac:dyDescent="0.25">
      <c r="C26" s="3"/>
    </row>
  </sheetData>
  <sheetProtection algorithmName="SHA-512" hashValue="rxjF5AKqwTbVN4aIjfBv3Cw1QvbNDJy08PVMe6U3dckJhOmp3fs900uuWL7BhPn9qjUSuKV6T8UE2ltt9FmB7w==" saltValue="USBf1f/8jabscRB83Jc7Zg==" spinCount="100000" sheet="1" objects="1" scenarios="1" formatColumns="0"/>
  <mergeCells count="2">
    <mergeCell ref="B5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showGridLines="0" topLeftCell="A2" workbookViewId="0">
      <selection activeCell="E13" sqref="E13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customWidth="1"/>
    <col min="6" max="6" width="38.7109375" customWidth="1"/>
    <col min="7" max="7" width="56.140625" style="67" customWidth="1"/>
  </cols>
  <sheetData>
    <row r="1" spans="1:7" ht="15.75" x14ac:dyDescent="0.25">
      <c r="A1" s="12" t="s">
        <v>33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47" customFormat="1" ht="30" x14ac:dyDescent="0.25">
      <c r="A4" s="33" t="s">
        <v>0</v>
      </c>
      <c r="B4" s="38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s="15" customFormat="1" ht="30" x14ac:dyDescent="0.25">
      <c r="A5" s="160">
        <v>0</v>
      </c>
      <c r="B5" s="263" t="s">
        <v>424</v>
      </c>
      <c r="C5" s="139" t="s">
        <v>342</v>
      </c>
      <c r="D5" s="161" t="s">
        <v>38</v>
      </c>
      <c r="E5" s="141">
        <v>1</v>
      </c>
      <c r="F5" s="162" t="s">
        <v>499</v>
      </c>
      <c r="G5" s="67"/>
    </row>
    <row r="6" spans="1:7" s="15" customFormat="1" ht="45" x14ac:dyDescent="0.25">
      <c r="A6" s="163">
        <v>0</v>
      </c>
      <c r="B6" s="264"/>
      <c r="C6" s="155" t="s">
        <v>344</v>
      </c>
      <c r="D6" s="159" t="s">
        <v>471</v>
      </c>
      <c r="E6" s="146">
        <v>1</v>
      </c>
      <c r="F6" s="164"/>
      <c r="G6" s="67"/>
    </row>
    <row r="7" spans="1:7" s="15" customFormat="1" ht="45" x14ac:dyDescent="0.25">
      <c r="A7" s="165">
        <v>0</v>
      </c>
      <c r="B7" s="265"/>
      <c r="C7" s="156" t="s">
        <v>343</v>
      </c>
      <c r="D7" s="166" t="s">
        <v>470</v>
      </c>
      <c r="E7" s="151">
        <v>1</v>
      </c>
      <c r="F7" s="167" t="s">
        <v>500</v>
      </c>
      <c r="G7" s="67"/>
    </row>
    <row r="8" spans="1:7" s="15" customFormat="1" ht="45" customHeight="1" x14ac:dyDescent="0.25">
      <c r="A8" s="160">
        <v>1</v>
      </c>
      <c r="B8" s="260" t="s">
        <v>425</v>
      </c>
      <c r="C8" s="154" t="s">
        <v>440</v>
      </c>
      <c r="D8" s="161"/>
      <c r="E8" s="141">
        <v>0</v>
      </c>
      <c r="F8" s="162"/>
      <c r="G8" s="67"/>
    </row>
    <row r="9" spans="1:7" s="15" customFormat="1" ht="30" customHeight="1" x14ac:dyDescent="0.25">
      <c r="A9" s="163">
        <v>2</v>
      </c>
      <c r="B9" s="261"/>
      <c r="C9" s="155" t="s">
        <v>378</v>
      </c>
      <c r="D9" s="169" t="s">
        <v>472</v>
      </c>
      <c r="E9" s="146">
        <v>1</v>
      </c>
      <c r="F9" s="164" t="s">
        <v>500</v>
      </c>
      <c r="G9" s="67"/>
    </row>
    <row r="10" spans="1:7" s="15" customFormat="1" ht="30" x14ac:dyDescent="0.25">
      <c r="A10" s="163">
        <v>2</v>
      </c>
      <c r="B10" s="261"/>
      <c r="C10" s="155" t="s">
        <v>377</v>
      </c>
      <c r="D10" s="169"/>
      <c r="E10" s="146">
        <v>1</v>
      </c>
      <c r="F10" s="164"/>
      <c r="G10" s="67"/>
    </row>
    <row r="11" spans="1:7" s="15" customFormat="1" ht="45" x14ac:dyDescent="0.25">
      <c r="A11" s="163">
        <v>3</v>
      </c>
      <c r="B11" s="261"/>
      <c r="C11" s="144" t="s">
        <v>392</v>
      </c>
      <c r="D11" s="169" t="s">
        <v>473</v>
      </c>
      <c r="E11" s="146">
        <v>0</v>
      </c>
      <c r="F11" s="164"/>
      <c r="G11" s="67"/>
    </row>
    <row r="12" spans="1:7" s="15" customFormat="1" ht="30" x14ac:dyDescent="0.25">
      <c r="A12" s="163">
        <v>3</v>
      </c>
      <c r="B12" s="261"/>
      <c r="C12" s="144" t="s">
        <v>393</v>
      </c>
      <c r="D12" s="159" t="s">
        <v>39</v>
      </c>
      <c r="E12" s="146">
        <v>0</v>
      </c>
      <c r="F12" s="164"/>
      <c r="G12" s="67"/>
    </row>
    <row r="13" spans="1:7" s="15" customFormat="1" ht="45" x14ac:dyDescent="0.25">
      <c r="A13" s="163">
        <v>4</v>
      </c>
      <c r="B13" s="261"/>
      <c r="C13" s="144" t="s">
        <v>410</v>
      </c>
      <c r="D13" s="169"/>
      <c r="E13" s="146">
        <v>1</v>
      </c>
      <c r="F13" s="164"/>
      <c r="G13" s="67"/>
    </row>
    <row r="14" spans="1:7" s="15" customFormat="1" ht="45" x14ac:dyDescent="0.25">
      <c r="A14" s="163">
        <v>4</v>
      </c>
      <c r="B14" s="261"/>
      <c r="C14" s="144" t="s">
        <v>412</v>
      </c>
      <c r="D14" s="170"/>
      <c r="E14" s="146">
        <v>0</v>
      </c>
      <c r="F14" s="164"/>
      <c r="G14" s="67"/>
    </row>
    <row r="15" spans="1:7" s="15" customFormat="1" ht="30" x14ac:dyDescent="0.25">
      <c r="A15" s="165">
        <v>5</v>
      </c>
      <c r="B15" s="262"/>
      <c r="C15" s="149" t="s">
        <v>420</v>
      </c>
      <c r="D15" s="166"/>
      <c r="E15" s="151">
        <v>0</v>
      </c>
      <c r="F15" s="167"/>
      <c r="G15" s="67"/>
    </row>
    <row r="16" spans="1:7" x14ac:dyDescent="0.25">
      <c r="C16" s="3"/>
    </row>
    <row r="17" spans="3:3" x14ac:dyDescent="0.25">
      <c r="C17" s="3"/>
    </row>
  </sheetData>
  <sheetProtection algorithmName="SHA-512" hashValue="bhVvrzv8s+Cj96OtEvd4PS2BuyaXfZPKwQB/4X5dh5jtbI1HMIGa2rzDxu1psDwDuo9DiFqk6Fj58TAok12shA==" saltValue="/L7m/ZHSzWHCIhicEfFlxA==" spinCount="100000" sheet="1" objects="1" scenarios="1" formatColumns="0"/>
  <mergeCells count="2">
    <mergeCell ref="B5:B7"/>
    <mergeCell ref="B8:B15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topLeftCell="C1" workbookViewId="0">
      <selection activeCell="E13" sqref="E13"/>
    </sheetView>
  </sheetViews>
  <sheetFormatPr defaultColWidth="8.7109375" defaultRowHeight="15" x14ac:dyDescent="0.25"/>
  <cols>
    <col min="1" max="1" width="9.140625" style="80" customWidth="1"/>
    <col min="2" max="2" width="14.7109375" customWidth="1"/>
    <col min="3" max="3" width="56" style="5" customWidth="1"/>
    <col min="4" max="4" width="50.28515625" customWidth="1"/>
    <col min="6" max="6" width="63.7109375" style="13" customWidth="1"/>
    <col min="7" max="7" width="53.28515625" style="67" customWidth="1"/>
  </cols>
  <sheetData>
    <row r="1" spans="1:7" ht="15.75" x14ac:dyDescent="0.25">
      <c r="A1" s="12" t="s">
        <v>34</v>
      </c>
      <c r="D1" s="5"/>
    </row>
    <row r="2" spans="1:7" x14ac:dyDescent="0.25">
      <c r="A2" s="83" t="s">
        <v>4</v>
      </c>
      <c r="D2" s="5"/>
    </row>
    <row r="4" spans="1:7" s="47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81" t="s">
        <v>3</v>
      </c>
      <c r="G4" s="69"/>
    </row>
    <row r="5" spans="1:7" ht="30" x14ac:dyDescent="0.25">
      <c r="A5" s="89">
        <v>2</v>
      </c>
      <c r="B5" s="86" t="s">
        <v>11</v>
      </c>
      <c r="C5" s="87" t="s">
        <v>376</v>
      </c>
      <c r="D5" s="178" t="s">
        <v>469</v>
      </c>
      <c r="E5" s="88">
        <v>1</v>
      </c>
      <c r="F5" s="90" t="s">
        <v>501</v>
      </c>
    </row>
    <row r="6" spans="1:7" ht="30" x14ac:dyDescent="0.25">
      <c r="A6" s="173">
        <v>1</v>
      </c>
      <c r="B6" s="266" t="s">
        <v>12</v>
      </c>
      <c r="C6" s="177" t="s">
        <v>358</v>
      </c>
      <c r="D6" s="168"/>
      <c r="E6" s="141">
        <v>0</v>
      </c>
      <c r="F6" s="162"/>
    </row>
    <row r="7" spans="1:7" ht="60" x14ac:dyDescent="0.25">
      <c r="A7" s="174">
        <v>1</v>
      </c>
      <c r="B7" s="267"/>
      <c r="C7" s="175" t="s">
        <v>359</v>
      </c>
      <c r="D7" s="169"/>
      <c r="E7" s="146">
        <v>0</v>
      </c>
      <c r="F7" s="164"/>
    </row>
    <row r="8" spans="1:7" ht="30" x14ac:dyDescent="0.25">
      <c r="A8" s="174">
        <v>1</v>
      </c>
      <c r="B8" s="267"/>
      <c r="C8" s="175" t="s">
        <v>360</v>
      </c>
      <c r="D8" s="169" t="s">
        <v>41</v>
      </c>
      <c r="E8" s="146">
        <v>0</v>
      </c>
      <c r="F8" s="164"/>
    </row>
    <row r="9" spans="1:7" x14ac:dyDescent="0.25">
      <c r="A9" s="174">
        <v>2</v>
      </c>
      <c r="B9" s="267"/>
      <c r="C9" s="175" t="s">
        <v>386</v>
      </c>
      <c r="D9" s="169" t="s">
        <v>41</v>
      </c>
      <c r="E9" s="146">
        <v>0</v>
      </c>
      <c r="F9" s="164"/>
    </row>
    <row r="10" spans="1:7" x14ac:dyDescent="0.25">
      <c r="A10" s="176">
        <v>3</v>
      </c>
      <c r="B10" s="268"/>
      <c r="C10" s="172" t="s">
        <v>408</v>
      </c>
      <c r="D10" s="179" t="s">
        <v>41</v>
      </c>
      <c r="E10" s="151">
        <v>0</v>
      </c>
      <c r="F10" s="167"/>
    </row>
    <row r="11" spans="1:7" s="21" customFormat="1" ht="45" customHeight="1" x14ac:dyDescent="0.25">
      <c r="A11" s="173">
        <v>1</v>
      </c>
      <c r="B11" s="266" t="s">
        <v>13</v>
      </c>
      <c r="C11" s="171" t="s">
        <v>439</v>
      </c>
      <c r="D11" s="168" t="s">
        <v>474</v>
      </c>
      <c r="E11" s="141">
        <v>0</v>
      </c>
      <c r="F11" s="162"/>
      <c r="G11" s="247"/>
    </row>
    <row r="12" spans="1:7" ht="45" customHeight="1" x14ac:dyDescent="0.25">
      <c r="A12" s="174">
        <v>2</v>
      </c>
      <c r="B12" s="267"/>
      <c r="C12" s="175" t="s">
        <v>384</v>
      </c>
      <c r="D12" s="248" t="s">
        <v>475</v>
      </c>
      <c r="E12" s="146">
        <v>0</v>
      </c>
      <c r="F12" s="164"/>
    </row>
    <row r="13" spans="1:7" ht="45" x14ac:dyDescent="0.25">
      <c r="A13" s="174">
        <v>2</v>
      </c>
      <c r="B13" s="267"/>
      <c r="C13" s="175" t="s">
        <v>387</v>
      </c>
      <c r="D13" s="159" t="s">
        <v>474</v>
      </c>
      <c r="E13" s="146">
        <v>1</v>
      </c>
      <c r="F13" s="164"/>
    </row>
    <row r="14" spans="1:7" x14ac:dyDescent="0.25">
      <c r="A14" s="174">
        <v>3</v>
      </c>
      <c r="B14" s="267"/>
      <c r="C14" s="175" t="s">
        <v>405</v>
      </c>
      <c r="D14" s="169" t="s">
        <v>476</v>
      </c>
      <c r="E14" s="146">
        <v>0</v>
      </c>
      <c r="F14" s="164"/>
    </row>
    <row r="15" spans="1:7" ht="30" x14ac:dyDescent="0.25">
      <c r="A15" s="174">
        <v>3</v>
      </c>
      <c r="B15" s="267"/>
      <c r="C15" s="175" t="s">
        <v>406</v>
      </c>
      <c r="D15" s="159" t="s">
        <v>474</v>
      </c>
      <c r="E15" s="146">
        <v>0</v>
      </c>
      <c r="F15" s="164"/>
    </row>
    <row r="16" spans="1:7" ht="30" x14ac:dyDescent="0.25">
      <c r="A16" s="174">
        <v>3</v>
      </c>
      <c r="B16" s="267"/>
      <c r="C16" s="175" t="s">
        <v>407</v>
      </c>
      <c r="D16" s="159" t="s">
        <v>474</v>
      </c>
      <c r="E16" s="146">
        <v>0</v>
      </c>
      <c r="F16" s="164"/>
    </row>
    <row r="17" spans="1:6" ht="30" x14ac:dyDescent="0.25">
      <c r="A17" s="174">
        <v>4</v>
      </c>
      <c r="B17" s="267"/>
      <c r="C17" s="175" t="s">
        <v>417</v>
      </c>
      <c r="D17" s="169" t="s">
        <v>476</v>
      </c>
      <c r="E17" s="146">
        <v>0</v>
      </c>
      <c r="F17" s="164"/>
    </row>
    <row r="18" spans="1:6" ht="30" x14ac:dyDescent="0.25">
      <c r="A18" s="174">
        <v>4</v>
      </c>
      <c r="B18" s="267"/>
      <c r="C18" s="175" t="s">
        <v>418</v>
      </c>
      <c r="D18" s="159" t="s">
        <v>474</v>
      </c>
      <c r="E18" s="146">
        <v>0</v>
      </c>
      <c r="F18" s="164"/>
    </row>
    <row r="19" spans="1:6" ht="30" x14ac:dyDescent="0.25">
      <c r="A19" s="176">
        <v>5</v>
      </c>
      <c r="B19" s="268"/>
      <c r="C19" s="172" t="s">
        <v>443</v>
      </c>
      <c r="D19" s="179" t="s">
        <v>474</v>
      </c>
      <c r="E19" s="151">
        <v>0</v>
      </c>
      <c r="F19" s="167"/>
    </row>
    <row r="20" spans="1:6" ht="30" x14ac:dyDescent="0.25">
      <c r="A20" s="160">
        <v>1</v>
      </c>
      <c r="B20" s="266" t="s">
        <v>14</v>
      </c>
      <c r="C20" s="171" t="s">
        <v>361</v>
      </c>
      <c r="D20" s="168" t="s">
        <v>477</v>
      </c>
      <c r="E20" s="141">
        <v>0</v>
      </c>
      <c r="F20" s="162"/>
    </row>
    <row r="21" spans="1:6" ht="30" x14ac:dyDescent="0.25">
      <c r="A21" s="165">
        <v>2</v>
      </c>
      <c r="B21" s="268"/>
      <c r="C21" s="172" t="s">
        <v>388</v>
      </c>
      <c r="D21" s="179" t="s">
        <v>477</v>
      </c>
      <c r="E21" s="151">
        <v>0</v>
      </c>
      <c r="F21" s="167"/>
    </row>
  </sheetData>
  <sheetProtection algorithmName="SHA-512" hashValue="rUvYlqVkicrSj/S/x6QOT5U/njipbWa5chL7zgjlDxnhu1VeizHTYg1Ro4i3yOoMwVfzfkZwr5J5VjJAgGHOag==" saltValue="BpNhHumUYn4BgFZNkvW50g==" spinCount="100000" sheet="1" objects="1" scenarios="1" formatColumns="0"/>
  <mergeCells count="3">
    <mergeCell ref="B6:B10"/>
    <mergeCell ref="B20:B21"/>
    <mergeCell ref="B11:B1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workbookViewId="0">
      <selection activeCell="E12" sqref="E12"/>
    </sheetView>
  </sheetViews>
  <sheetFormatPr defaultColWidth="8.7109375" defaultRowHeight="15" x14ac:dyDescent="0.25"/>
  <cols>
    <col min="1" max="1" width="9.140625" style="80" customWidth="1"/>
    <col min="2" max="2" width="14.7109375" style="19" customWidth="1"/>
    <col min="3" max="3" width="56" style="5" customWidth="1"/>
    <col min="4" max="4" width="50.28515625" style="200" customWidth="1"/>
    <col min="6" max="6" width="38.7109375" customWidth="1"/>
    <col min="7" max="7" width="56.7109375" style="67" customWidth="1"/>
  </cols>
  <sheetData>
    <row r="1" spans="1:7" ht="15.75" x14ac:dyDescent="0.25">
      <c r="A1" s="12" t="s">
        <v>35</v>
      </c>
      <c r="D1" s="194"/>
    </row>
    <row r="2" spans="1:7" x14ac:dyDescent="0.25">
      <c r="A2" s="83" t="s">
        <v>4</v>
      </c>
      <c r="D2" s="194"/>
    </row>
    <row r="4" spans="1:7" s="47" customFormat="1" ht="30" x14ac:dyDescent="0.25">
      <c r="A4" s="33" t="s">
        <v>0</v>
      </c>
      <c r="B4" s="40" t="s">
        <v>49</v>
      </c>
      <c r="C4" s="39" t="s">
        <v>1</v>
      </c>
      <c r="D4" s="46" t="s">
        <v>478</v>
      </c>
      <c r="E4" s="35" t="s">
        <v>2</v>
      </c>
      <c r="F4" s="36" t="s">
        <v>3</v>
      </c>
      <c r="G4" s="69"/>
    </row>
    <row r="5" spans="1:7" s="8" customFormat="1" ht="30" x14ac:dyDescent="0.25">
      <c r="A5" s="138">
        <v>1</v>
      </c>
      <c r="B5" s="269" t="s">
        <v>19</v>
      </c>
      <c r="C5" s="139" t="s">
        <v>365</v>
      </c>
      <c r="D5" s="195"/>
      <c r="E5" s="181">
        <v>1</v>
      </c>
      <c r="F5" s="182"/>
      <c r="G5" s="70"/>
    </row>
    <row r="6" spans="1:7" s="8" customFormat="1" ht="30" x14ac:dyDescent="0.25">
      <c r="A6" s="143">
        <v>1</v>
      </c>
      <c r="B6" s="270"/>
      <c r="C6" s="155" t="s">
        <v>366</v>
      </c>
      <c r="D6" s="196" t="s">
        <v>479</v>
      </c>
      <c r="E6" s="184">
        <v>0</v>
      </c>
      <c r="F6" s="185"/>
      <c r="G6" s="70"/>
    </row>
    <row r="7" spans="1:7" s="8" customFormat="1" ht="30" x14ac:dyDescent="0.25">
      <c r="A7" s="143">
        <v>2</v>
      </c>
      <c r="B7" s="270"/>
      <c r="C7" s="155" t="s">
        <v>379</v>
      </c>
      <c r="D7" s="197" t="s">
        <v>480</v>
      </c>
      <c r="E7" s="184">
        <v>0</v>
      </c>
      <c r="F7" s="185"/>
      <c r="G7" s="70"/>
    </row>
    <row r="8" spans="1:7" s="8" customFormat="1" ht="30" x14ac:dyDescent="0.25">
      <c r="A8" s="143">
        <v>2</v>
      </c>
      <c r="B8" s="270"/>
      <c r="C8" s="192" t="s">
        <v>381</v>
      </c>
      <c r="D8" s="197"/>
      <c r="E8" s="184">
        <v>0</v>
      </c>
      <c r="F8" s="185"/>
      <c r="G8" s="70"/>
    </row>
    <row r="9" spans="1:7" s="8" customFormat="1" ht="45" x14ac:dyDescent="0.25">
      <c r="A9" s="183">
        <v>2</v>
      </c>
      <c r="B9" s="270"/>
      <c r="C9" s="144" t="s">
        <v>380</v>
      </c>
      <c r="D9" s="197"/>
      <c r="E9" s="184">
        <v>0</v>
      </c>
      <c r="F9" s="185"/>
      <c r="G9" s="70"/>
    </row>
    <row r="10" spans="1:7" s="8" customFormat="1" ht="45" x14ac:dyDescent="0.25">
      <c r="A10" s="183">
        <v>3</v>
      </c>
      <c r="B10" s="270"/>
      <c r="C10" s="144" t="s">
        <v>399</v>
      </c>
      <c r="D10" s="197"/>
      <c r="E10" s="184">
        <v>0</v>
      </c>
      <c r="F10" s="185"/>
      <c r="G10" s="70"/>
    </row>
    <row r="11" spans="1:7" s="8" customFormat="1" ht="30" x14ac:dyDescent="0.25">
      <c r="A11" s="191">
        <v>5</v>
      </c>
      <c r="B11" s="271"/>
      <c r="C11" s="193" t="s">
        <v>423</v>
      </c>
      <c r="D11" s="198"/>
      <c r="E11" s="187">
        <v>0</v>
      </c>
      <c r="F11" s="188"/>
      <c r="G11" s="70"/>
    </row>
    <row r="12" spans="1:7" s="8" customFormat="1" x14ac:dyDescent="0.25">
      <c r="A12" s="180">
        <v>1</v>
      </c>
      <c r="B12" s="269" t="s">
        <v>18</v>
      </c>
      <c r="C12" s="189" t="s">
        <v>362</v>
      </c>
      <c r="D12" s="195"/>
      <c r="E12" s="181">
        <v>1</v>
      </c>
      <c r="F12" s="182"/>
      <c r="G12" s="70"/>
    </row>
    <row r="13" spans="1:7" s="8" customFormat="1" ht="30" x14ac:dyDescent="0.25">
      <c r="A13" s="183">
        <v>1</v>
      </c>
      <c r="B13" s="270"/>
      <c r="C13" s="190" t="s">
        <v>363</v>
      </c>
      <c r="D13" s="197" t="s">
        <v>476</v>
      </c>
      <c r="E13" s="184">
        <v>0</v>
      </c>
      <c r="F13" s="185"/>
      <c r="G13" s="70"/>
    </row>
    <row r="14" spans="1:7" s="8" customFormat="1" ht="30" x14ac:dyDescent="0.25">
      <c r="A14" s="143">
        <v>2</v>
      </c>
      <c r="B14" s="270"/>
      <c r="C14" s="155" t="s">
        <v>15</v>
      </c>
      <c r="D14" s="197"/>
      <c r="E14" s="184">
        <v>0</v>
      </c>
      <c r="F14" s="185"/>
      <c r="G14" s="70"/>
    </row>
    <row r="15" spans="1:7" s="8" customFormat="1" ht="30" x14ac:dyDescent="0.25">
      <c r="A15" s="143">
        <v>2</v>
      </c>
      <c r="B15" s="270"/>
      <c r="C15" s="155" t="s">
        <v>16</v>
      </c>
      <c r="D15" s="197"/>
      <c r="E15" s="184">
        <v>0</v>
      </c>
      <c r="F15" s="185"/>
      <c r="G15" s="70"/>
    </row>
    <row r="16" spans="1:7" s="8" customFormat="1" ht="45" x14ac:dyDescent="0.25">
      <c r="A16" s="143">
        <v>3</v>
      </c>
      <c r="B16" s="270"/>
      <c r="C16" s="144" t="s">
        <v>403</v>
      </c>
      <c r="D16" s="197"/>
      <c r="E16" s="184">
        <v>0</v>
      </c>
      <c r="F16" s="185"/>
      <c r="G16" s="70"/>
    </row>
    <row r="17" spans="1:7" s="8" customFormat="1" ht="30" x14ac:dyDescent="0.25">
      <c r="A17" s="143">
        <v>3</v>
      </c>
      <c r="B17" s="270"/>
      <c r="C17" s="155" t="s">
        <v>404</v>
      </c>
      <c r="D17" s="197" t="s">
        <v>481</v>
      </c>
      <c r="E17" s="184">
        <v>0</v>
      </c>
      <c r="F17" s="185"/>
      <c r="G17" s="70"/>
    </row>
    <row r="18" spans="1:7" s="8" customFormat="1" ht="45" x14ac:dyDescent="0.25">
      <c r="A18" s="143">
        <v>4</v>
      </c>
      <c r="B18" s="270"/>
      <c r="C18" s="144" t="s">
        <v>413</v>
      </c>
      <c r="D18" s="197"/>
      <c r="E18" s="184">
        <v>0</v>
      </c>
      <c r="F18" s="185"/>
      <c r="G18" s="70"/>
    </row>
    <row r="19" spans="1:7" s="8" customFormat="1" ht="30" x14ac:dyDescent="0.25">
      <c r="A19" s="191">
        <v>5</v>
      </c>
      <c r="B19" s="271"/>
      <c r="C19" s="149" t="s">
        <v>444</v>
      </c>
      <c r="D19" s="199"/>
      <c r="E19" s="187">
        <v>0</v>
      </c>
      <c r="F19" s="188"/>
      <c r="G19" s="70"/>
    </row>
    <row r="20" spans="1:7" s="8" customFormat="1" ht="45" x14ac:dyDescent="0.25">
      <c r="A20" s="180">
        <v>1</v>
      </c>
      <c r="B20" s="269" t="s">
        <v>20</v>
      </c>
      <c r="C20" s="139" t="s">
        <v>364</v>
      </c>
      <c r="D20" s="195"/>
      <c r="E20" s="181">
        <v>0</v>
      </c>
      <c r="F20" s="182"/>
      <c r="G20" s="70"/>
    </row>
    <row r="21" spans="1:7" s="8" customFormat="1" ht="30" x14ac:dyDescent="0.25">
      <c r="A21" s="183">
        <v>2</v>
      </c>
      <c r="B21" s="270"/>
      <c r="C21" s="155" t="s">
        <v>382</v>
      </c>
      <c r="D21" s="197" t="s">
        <v>331</v>
      </c>
      <c r="E21" s="184">
        <v>0</v>
      </c>
      <c r="F21" s="185"/>
      <c r="G21" s="70"/>
    </row>
    <row r="22" spans="1:7" s="8" customFormat="1" ht="30" x14ac:dyDescent="0.25">
      <c r="A22" s="186">
        <v>2</v>
      </c>
      <c r="B22" s="270"/>
      <c r="C22" s="155" t="s">
        <v>383</v>
      </c>
      <c r="D22" s="197"/>
      <c r="E22" s="184">
        <v>0</v>
      </c>
      <c r="F22" s="185"/>
      <c r="G22" s="70"/>
    </row>
    <row r="23" spans="1:7" s="8" customFormat="1" ht="45" x14ac:dyDescent="0.25">
      <c r="A23" s="186">
        <v>3</v>
      </c>
      <c r="B23" s="270"/>
      <c r="C23" s="144" t="s">
        <v>400</v>
      </c>
      <c r="D23" s="196" t="s">
        <v>482</v>
      </c>
      <c r="E23" s="184">
        <v>0</v>
      </c>
      <c r="F23" s="185"/>
      <c r="G23" s="70"/>
    </row>
    <row r="24" spans="1:7" s="8" customFormat="1" ht="45" x14ac:dyDescent="0.25">
      <c r="A24" s="143">
        <v>3</v>
      </c>
      <c r="B24" s="270"/>
      <c r="C24" s="144" t="s">
        <v>401</v>
      </c>
      <c r="D24" s="197" t="s">
        <v>332</v>
      </c>
      <c r="E24" s="184">
        <v>0</v>
      </c>
      <c r="F24" s="185"/>
      <c r="G24" s="70"/>
    </row>
    <row r="25" spans="1:7" s="8" customFormat="1" ht="30" x14ac:dyDescent="0.25">
      <c r="A25" s="143">
        <v>3</v>
      </c>
      <c r="B25" s="270"/>
      <c r="C25" s="144" t="s">
        <v>402</v>
      </c>
      <c r="D25" s="196" t="s">
        <v>483</v>
      </c>
      <c r="E25" s="184">
        <v>0</v>
      </c>
      <c r="F25" s="185"/>
      <c r="G25" s="70"/>
    </row>
    <row r="26" spans="1:7" s="8" customFormat="1" ht="45" x14ac:dyDescent="0.25">
      <c r="A26" s="143">
        <v>4</v>
      </c>
      <c r="B26" s="270"/>
      <c r="C26" s="144" t="s">
        <v>414</v>
      </c>
      <c r="D26" s="197"/>
      <c r="E26" s="184">
        <v>0</v>
      </c>
      <c r="F26" s="185"/>
      <c r="G26" s="70"/>
    </row>
    <row r="27" spans="1:7" s="8" customFormat="1" ht="45" x14ac:dyDescent="0.25">
      <c r="A27" s="143">
        <v>4</v>
      </c>
      <c r="B27" s="270"/>
      <c r="C27" s="144" t="s">
        <v>415</v>
      </c>
      <c r="D27" s="197"/>
      <c r="E27" s="184">
        <v>0</v>
      </c>
      <c r="F27" s="185"/>
      <c r="G27" s="70"/>
    </row>
    <row r="28" spans="1:7" s="8" customFormat="1" ht="45" x14ac:dyDescent="0.25">
      <c r="A28" s="143">
        <v>4</v>
      </c>
      <c r="B28" s="270"/>
      <c r="C28" s="144" t="s">
        <v>416</v>
      </c>
      <c r="D28" s="197"/>
      <c r="E28" s="184">
        <v>0</v>
      </c>
      <c r="F28" s="185"/>
      <c r="G28" s="70"/>
    </row>
    <row r="29" spans="1:7" s="8" customFormat="1" ht="30" x14ac:dyDescent="0.25">
      <c r="A29" s="148">
        <v>5</v>
      </c>
      <c r="B29" s="271"/>
      <c r="C29" s="149" t="s">
        <v>17</v>
      </c>
      <c r="D29" s="198"/>
      <c r="E29" s="187">
        <v>0</v>
      </c>
      <c r="F29" s="188"/>
      <c r="G29" s="70"/>
    </row>
    <row r="30" spans="1:7" s="8" customFormat="1" x14ac:dyDescent="0.25">
      <c r="A30" s="82"/>
      <c r="B30" s="20"/>
      <c r="C30" s="11"/>
      <c r="D30" s="200"/>
      <c r="G30" s="70"/>
    </row>
    <row r="31" spans="1:7" s="8" customFormat="1" x14ac:dyDescent="0.25">
      <c r="A31" s="82"/>
      <c r="B31" s="20"/>
      <c r="C31" s="11"/>
      <c r="D31" s="200"/>
      <c r="G31" s="70"/>
    </row>
    <row r="32" spans="1:7" s="8" customFormat="1" x14ac:dyDescent="0.25">
      <c r="A32" s="82"/>
      <c r="B32" s="20"/>
      <c r="C32" s="11"/>
      <c r="D32" s="200"/>
      <c r="G32" s="70"/>
    </row>
    <row r="33" spans="1:7" s="8" customFormat="1" x14ac:dyDescent="0.25">
      <c r="A33" s="82"/>
      <c r="B33" s="20"/>
      <c r="C33" s="11"/>
      <c r="D33" s="200"/>
      <c r="G33" s="70"/>
    </row>
  </sheetData>
  <sheetProtection algorithmName="SHA-512" hashValue="kaUNNOgr4uq4HsjjrJRBbX93wNzxOZZSnMy91NjGmmzXVqUfHzxglcdmzRJkTwivEblmTshIOS08imfJE0sY0g==" saltValue="6RzB/3IOICDOBZp6DWVOFA==" spinCount="100000" sheet="1" objects="1" scenarios="1" formatColumns="0"/>
  <mergeCells count="3">
    <mergeCell ref="B5:B11"/>
    <mergeCell ref="B20:B29"/>
    <mergeCell ref="B12:B1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showGridLines="0" workbookViewId="0">
      <selection activeCell="E10" sqref="E10"/>
    </sheetView>
  </sheetViews>
  <sheetFormatPr defaultColWidth="8.7109375"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7109375" customWidth="1"/>
    <col min="7" max="7" width="53.140625" style="67" customWidth="1"/>
  </cols>
  <sheetData>
    <row r="1" spans="1:7" ht="15.75" x14ac:dyDescent="0.25">
      <c r="A1" s="12" t="s">
        <v>36</v>
      </c>
      <c r="D1" s="5"/>
    </row>
    <row r="2" spans="1:7" x14ac:dyDescent="0.25">
      <c r="A2" s="2" t="s">
        <v>4</v>
      </c>
      <c r="D2" s="5"/>
    </row>
    <row r="4" spans="1:7" s="47" customFormat="1" ht="30" x14ac:dyDescent="0.25">
      <c r="A4" s="33" t="s">
        <v>0</v>
      </c>
      <c r="B4" s="37" t="s">
        <v>49</v>
      </c>
      <c r="C4" s="36" t="s">
        <v>1</v>
      </c>
      <c r="D4" s="46" t="s">
        <v>324</v>
      </c>
      <c r="E4" s="35" t="s">
        <v>2</v>
      </c>
      <c r="F4" s="36" t="s">
        <v>3</v>
      </c>
      <c r="G4" s="69"/>
    </row>
    <row r="5" spans="1:7" ht="30" x14ac:dyDescent="0.25">
      <c r="A5" s="201">
        <v>1</v>
      </c>
      <c r="B5" s="202"/>
      <c r="C5" s="154" t="s">
        <v>21</v>
      </c>
      <c r="D5" s="208" t="s">
        <v>42</v>
      </c>
      <c r="E5" s="141">
        <v>0</v>
      </c>
      <c r="F5" s="142"/>
    </row>
    <row r="6" spans="1:7" ht="45" x14ac:dyDescent="0.25">
      <c r="A6" s="203">
        <v>1</v>
      </c>
      <c r="B6" s="204"/>
      <c r="C6" s="155" t="s">
        <v>364</v>
      </c>
      <c r="D6" s="209"/>
      <c r="E6" s="146">
        <v>0</v>
      </c>
      <c r="F6" s="147"/>
    </row>
    <row r="7" spans="1:7" ht="30" x14ac:dyDescent="0.25">
      <c r="A7" s="203">
        <v>2</v>
      </c>
      <c r="B7" s="204"/>
      <c r="C7" s="155" t="s">
        <v>384</v>
      </c>
      <c r="D7" s="209" t="s">
        <v>475</v>
      </c>
      <c r="E7" s="146">
        <v>0</v>
      </c>
      <c r="F7" s="147"/>
    </row>
    <row r="8" spans="1:7" ht="30" x14ac:dyDescent="0.25">
      <c r="A8" s="203">
        <v>2</v>
      </c>
      <c r="B8" s="205"/>
      <c r="C8" s="155" t="s">
        <v>385</v>
      </c>
      <c r="D8" s="209"/>
      <c r="E8" s="146">
        <v>0</v>
      </c>
      <c r="F8" s="147"/>
    </row>
    <row r="9" spans="1:7" ht="30" x14ac:dyDescent="0.25">
      <c r="A9" s="206">
        <v>5</v>
      </c>
      <c r="B9" s="207"/>
      <c r="C9" s="149" t="s">
        <v>443</v>
      </c>
      <c r="D9" s="210"/>
      <c r="E9" s="151">
        <v>0</v>
      </c>
      <c r="F9" s="152"/>
    </row>
    <row r="12" spans="1:7" x14ac:dyDescent="0.25">
      <c r="B12" s="6"/>
      <c r="C12" s="7"/>
    </row>
    <row r="17" spans="2:3" x14ac:dyDescent="0.25">
      <c r="B17" s="6"/>
    </row>
    <row r="20" spans="2:3" x14ac:dyDescent="0.25">
      <c r="C20" s="3"/>
    </row>
    <row r="21" spans="2:3" x14ac:dyDescent="0.25">
      <c r="C21" s="3"/>
    </row>
    <row r="22" spans="2:3" x14ac:dyDescent="0.25">
      <c r="C22" s="3"/>
    </row>
  </sheetData>
  <sheetProtection algorithmName="SHA-512" hashValue="wUcRzwZIATmDjkn/5l1Dto5/MRlr/9JpiNkLWqUC4YAa7N940+7D3lXonwvRTWQe/KJG+TehV6d1qFCD757GXw==" saltValue="J0Vso9GMd6lt1fWIg6FDRw==" spinCount="100000" sheet="1" objects="1" scenarios="1" formatColumns="0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31</vt:i4>
      </vt:variant>
    </vt:vector>
  </HeadingPairs>
  <TitlesOfParts>
    <vt:vector size="46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RULES</vt:lpstr>
      <vt:lpstr>key activities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(Score)'!Print_Area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Terence Scott</cp:lastModifiedBy>
  <cp:lastPrinted>2016-06-27T05:30:53Z</cp:lastPrinted>
  <dcterms:created xsi:type="dcterms:W3CDTF">2015-04-17T07:47:18Z</dcterms:created>
  <dcterms:modified xsi:type="dcterms:W3CDTF">2016-06-29T17:22:26Z</dcterms:modified>
</cp:coreProperties>
</file>