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hidePivotFieldList="1"/>
  <bookViews>
    <workbookView xWindow="0" yWindow="0" windowWidth="19440" windowHeight="7755" tabRatio="917" firstSheet="1" activeTab="1"/>
  </bookViews>
  <sheets>
    <sheet name="INSTRUCTIONS" sheetId="16" r:id="rId1"/>
    <sheet name="Country profile" sheetId="17" r:id="rId2"/>
    <sheet name="country" sheetId="18" state="hidden" r:id="rId3"/>
    <sheet name="Legislation" sheetId="2" r:id="rId4"/>
    <sheet name="Data coll &amp; ax" sheetId="3" r:id="rId5"/>
    <sheet name="Lab dx" sheetId="5" r:id="rId6"/>
    <sheet name="IEC" sheetId="9" r:id="rId7"/>
    <sheet name="Prev &amp; Ctrl" sheetId="10" r:id="rId8"/>
    <sheet name="Dog popn" sheetId="13" r:id="rId9"/>
    <sheet name="Cross-cutting issues" sheetId="14" r:id="rId10"/>
    <sheet name="SUMMARY (Score)" sheetId="7" r:id="rId11"/>
    <sheet name="SUMMARY (Stage)" sheetId="15" r:id="rId12"/>
  </sheets>
  <definedNames>
    <definedName name="A_case_definition_for_animal_rabies_is_available">Legislation!$C$6:$C$16</definedName>
    <definedName name="ACHIEVEMENTS___ACTIVITIES">Legislation!$C$5:$C$16</definedName>
    <definedName name="COUNTRY">country!$A$1:$A$267</definedName>
    <definedName name="crossstage">'Cross-cutting issues'!$A$5:$A$19</definedName>
    <definedName name="crossstatus">'Cross-cutting issues'!$E$5:$E$19</definedName>
    <definedName name="datastage">'Data coll &amp; ax'!$A$5:$A$13</definedName>
    <definedName name="datastatus">'Data coll &amp; ax'!$E$5:$E$13</definedName>
    <definedName name="dogstage">'Dog popn'!$A$5:$A$7</definedName>
    <definedName name="dogstatus">'Dog popn'!$E$5:$E$7</definedName>
    <definedName name="iecstage">IEC!$A$5:$A$22</definedName>
    <definedName name="iecstatus">IEC!$E$5:$E$22</definedName>
    <definedName name="kp" localSheetId="2">country!#REF!</definedName>
    <definedName name="labstage">'Lab dx'!$A$5:$A$14</definedName>
    <definedName name="labstatus">'Lab dx'!$E$5:$E$14</definedName>
    <definedName name="National_case_definition_for_animal_rabies">Legislation!$B$6:$B$16</definedName>
    <definedName name="OTHER_IMPORTANT_INFORMATION">Legislation!$D$5:$D$16</definedName>
    <definedName name="prevstage">'Prev &amp; Ctrl'!$A$5:$A$28</definedName>
    <definedName name="prevstatus">'Prev &amp; Ctrl'!$E$5:$E$28</definedName>
    <definedName name="_xlnm.Print_Titles" localSheetId="11">'SUMMARY (Stage)'!$A:$A,'SUMMARY (Stage)'!$4:$5</definedName>
    <definedName name="REMARKS">Legislation!$F$5:$F$16</definedName>
    <definedName name="STAGE">Legislation!$A$5:$A$16</definedName>
    <definedName name="STATUS">Legislation!$E$5:$E$16</definedName>
    <definedName name="subcomponent">Legislation!$B$5:$B$16</definedName>
    <definedName name="tbl">Legislation!$A$5:$E$16</definedName>
    <definedName name="u" localSheetId="2">country!#REF!</definedName>
  </definedNames>
  <calcPr calcId="124519"/>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C6" i="15"/>
  <c r="F1"/>
  <c r="C7" i="7" s="1"/>
  <c r="E1" i="15"/>
  <c r="C6" i="7" s="1"/>
  <c r="M22" i="15" l="1"/>
  <c r="O22" s="1" a="1"/>
  <c r="O22" s="1"/>
  <c r="S49"/>
  <c r="U55" s="1" a="1"/>
  <c r="U55" s="1"/>
  <c r="S48"/>
  <c r="T54" s="1" a="1"/>
  <c r="T54" s="1"/>
  <c r="S40"/>
  <c r="U40" s="1" a="1"/>
  <c r="U40" s="1"/>
  <c r="S39"/>
  <c r="T39" s="1" a="1"/>
  <c r="T39" s="1"/>
  <c r="S31"/>
  <c r="U34" s="1" a="1"/>
  <c r="U34" s="1"/>
  <c r="S30"/>
  <c r="T30" s="1" a="1"/>
  <c r="T30" s="1"/>
  <c r="S22"/>
  <c r="U21" s="1" a="1"/>
  <c r="U21" s="1"/>
  <c r="S21"/>
  <c r="T24" s="1" a="1"/>
  <c r="T24" s="1"/>
  <c r="S13"/>
  <c r="U11" s="1" a="1"/>
  <c r="U11" s="1"/>
  <c r="S12"/>
  <c r="T12" s="1" a="1"/>
  <c r="T12" s="1"/>
  <c r="S8"/>
  <c r="U8" s="1" a="1"/>
  <c r="U8" s="1"/>
  <c r="S7"/>
  <c r="T7" s="1" a="1"/>
  <c r="T7" s="1"/>
  <c r="P49"/>
  <c r="R49" s="1" a="1"/>
  <c r="R49" s="1"/>
  <c r="P48"/>
  <c r="Q48" s="1" a="1"/>
  <c r="Q48" s="1"/>
  <c r="P40"/>
  <c r="R40" s="1" a="1"/>
  <c r="R40" s="1"/>
  <c r="P39"/>
  <c r="Q39" s="1" a="1"/>
  <c r="Q39" s="1"/>
  <c r="P31"/>
  <c r="R32" s="1" a="1"/>
  <c r="R32" s="1"/>
  <c r="P30"/>
  <c r="Q33" s="1" a="1"/>
  <c r="Q33" s="1"/>
  <c r="P22"/>
  <c r="P21"/>
  <c r="Q21" s="1" a="1"/>
  <c r="Q21" s="1"/>
  <c r="P13"/>
  <c r="R13" s="1" a="1"/>
  <c r="R13" s="1"/>
  <c r="P12"/>
  <c r="Q12" s="1" a="1"/>
  <c r="Q12" s="1"/>
  <c r="P8"/>
  <c r="R8" s="1" a="1"/>
  <c r="R8" s="1"/>
  <c r="P7"/>
  <c r="Q7" s="1" a="1"/>
  <c r="Q7" s="1"/>
  <c r="M49"/>
  <c r="O47" s="1" a="1"/>
  <c r="O47" s="1"/>
  <c r="M48"/>
  <c r="N48" s="1" a="1"/>
  <c r="N48" s="1"/>
  <c r="M40"/>
  <c r="O45" s="1" a="1"/>
  <c r="O45" s="1"/>
  <c r="M39"/>
  <c r="N44" s="1" a="1"/>
  <c r="N44" s="1"/>
  <c r="M31"/>
  <c r="O32" s="1" a="1"/>
  <c r="O32" s="1"/>
  <c r="M30"/>
  <c r="N33" s="1" a="1"/>
  <c r="N33" s="1"/>
  <c r="M21"/>
  <c r="N21" s="1" a="1"/>
  <c r="N21" s="1"/>
  <c r="M13"/>
  <c r="O12" s="1" a="1"/>
  <c r="O12" s="1"/>
  <c r="M12"/>
  <c r="N16" s="1" a="1"/>
  <c r="N16" s="1"/>
  <c r="M8"/>
  <c r="O8" s="1" a="1"/>
  <c r="O8" s="1"/>
  <c r="M7"/>
  <c r="N8" s="1" a="1"/>
  <c r="N8" s="1"/>
  <c r="J49"/>
  <c r="L48" s="1" a="1"/>
  <c r="L48" s="1"/>
  <c r="J48"/>
  <c r="K51" s="1" a="1"/>
  <c r="K51" s="1"/>
  <c r="J40"/>
  <c r="L40" s="1" a="1"/>
  <c r="L40" s="1"/>
  <c r="J39"/>
  <c r="K39" s="1" a="1"/>
  <c r="K39" s="1"/>
  <c r="J31"/>
  <c r="L32" s="1" a="1"/>
  <c r="L32" s="1"/>
  <c r="J30"/>
  <c r="K31" s="1" a="1"/>
  <c r="K31" s="1"/>
  <c r="J22"/>
  <c r="L22" s="1" a="1"/>
  <c r="L22" s="1"/>
  <c r="J21"/>
  <c r="K25" s="1" a="1"/>
  <c r="K25" s="1"/>
  <c r="J13"/>
  <c r="L13" s="1" a="1"/>
  <c r="L13" s="1"/>
  <c r="J12"/>
  <c r="K15" s="1" a="1"/>
  <c r="K15" s="1"/>
  <c r="J8"/>
  <c r="L10" s="1" a="1"/>
  <c r="L10" s="1"/>
  <c r="J7"/>
  <c r="K9" s="1" a="1"/>
  <c r="K9" s="1"/>
  <c r="G49"/>
  <c r="I48" s="1" a="1"/>
  <c r="I48" s="1"/>
  <c r="G48"/>
  <c r="H48" s="1" a="1"/>
  <c r="H48" s="1"/>
  <c r="G40"/>
  <c r="I39" s="1" a="1"/>
  <c r="I39" s="1"/>
  <c r="G39"/>
  <c r="H39" s="1" a="1"/>
  <c r="H39" s="1"/>
  <c r="G31"/>
  <c r="I30" s="1" a="1"/>
  <c r="I30" s="1"/>
  <c r="G30"/>
  <c r="H29" s="1" a="1"/>
  <c r="H29" s="1"/>
  <c r="G22"/>
  <c r="I21" s="1" a="1"/>
  <c r="I21" s="1"/>
  <c r="G21"/>
  <c r="H23" s="1" a="1"/>
  <c r="H23" s="1"/>
  <c r="G13"/>
  <c r="I15" s="1" a="1"/>
  <c r="I15" s="1"/>
  <c r="G12"/>
  <c r="H14" s="1" a="1"/>
  <c r="H14" s="1"/>
  <c r="G8"/>
  <c r="I10" s="1" a="1"/>
  <c r="I10" s="1"/>
  <c r="G7"/>
  <c r="H8" s="1" a="1"/>
  <c r="H8" s="1"/>
  <c r="D49"/>
  <c r="F48" s="1" a="1"/>
  <c r="F48" s="1"/>
  <c r="D48"/>
  <c r="E47" s="1" a="1"/>
  <c r="E47" s="1"/>
  <c r="D40"/>
  <c r="F38" s="1" a="1"/>
  <c r="F38" s="1"/>
  <c r="D39"/>
  <c r="D31"/>
  <c r="D30"/>
  <c r="D22"/>
  <c r="F22" s="1" a="1"/>
  <c r="F22" s="1"/>
  <c r="D21"/>
  <c r="E21" s="1" a="1"/>
  <c r="E21" s="1"/>
  <c r="D13"/>
  <c r="F11" s="1" a="1"/>
  <c r="F11" s="1"/>
  <c r="D12"/>
  <c r="E11" s="1" a="1"/>
  <c r="E11" s="1"/>
  <c r="D8"/>
  <c r="F8" s="1"/>
  <c r="D7"/>
  <c r="Q38" l="1" a="1"/>
  <c r="Q38" s="1"/>
  <c r="Q53" a="1"/>
  <c r="Q53" s="1"/>
  <c r="R37" a="1"/>
  <c r="R37" s="1"/>
  <c r="R39" a="1"/>
  <c r="R39" s="1"/>
  <c r="R31" a="1"/>
  <c r="R31" s="1"/>
  <c r="R45" a="1"/>
  <c r="R45" s="1"/>
  <c r="R41" a="1"/>
  <c r="R41" s="1"/>
  <c r="R43" a="1"/>
  <c r="R43" s="1"/>
  <c r="K45" a="1"/>
  <c r="K45" s="1"/>
  <c r="O20" a="1"/>
  <c r="O20" s="1"/>
  <c r="T6" a="1"/>
  <c r="T6" s="1"/>
  <c r="T10" a="1"/>
  <c r="T10" s="1"/>
  <c r="U29" a="1"/>
  <c r="U29" s="1"/>
  <c r="T8" a="1"/>
  <c r="T8" s="1"/>
  <c r="U36" a="1"/>
  <c r="U36" s="1"/>
  <c r="U45" a="1"/>
  <c r="U45" s="1"/>
  <c r="U32" a="1"/>
  <c r="U32" s="1"/>
  <c r="U20" a="1"/>
  <c r="U20" s="1"/>
  <c r="U35" a="1"/>
  <c r="U35" s="1"/>
  <c r="U31" a="1"/>
  <c r="U31" s="1"/>
  <c r="U41" a="1"/>
  <c r="U41" s="1"/>
  <c r="T34" a="1"/>
  <c r="T34" s="1"/>
  <c r="U26" a="1"/>
  <c r="U26" s="1"/>
  <c r="T9" a="1"/>
  <c r="T9" s="1"/>
  <c r="U22" a="1"/>
  <c r="U22" s="1"/>
  <c r="T25" a="1"/>
  <c r="T25" s="1"/>
  <c r="T21" a="1"/>
  <c r="T21" s="1"/>
  <c r="U18" a="1"/>
  <c r="U18" s="1"/>
  <c r="U17" a="1"/>
  <c r="U17" s="1"/>
  <c r="U16" a="1"/>
  <c r="U16" s="1"/>
  <c r="U15" a="1"/>
  <c r="U15" s="1"/>
  <c r="U14" a="1"/>
  <c r="U14" s="1"/>
  <c r="U13" a="1"/>
  <c r="U13" s="1"/>
  <c r="U12" a="1"/>
  <c r="U12" s="1"/>
  <c r="T35" a="1"/>
  <c r="T35" s="1"/>
  <c r="U46" a="1"/>
  <c r="U46" s="1"/>
  <c r="T45" a="1"/>
  <c r="T45" s="1"/>
  <c r="U42" a="1"/>
  <c r="U42" s="1"/>
  <c r="T41" a="1"/>
  <c r="T41" s="1"/>
  <c r="U52" a="1"/>
  <c r="U52" s="1"/>
  <c r="U7" a="1"/>
  <c r="U7" s="1"/>
  <c r="T11" a="1"/>
  <c r="T11" s="1"/>
  <c r="U28" a="1"/>
  <c r="U28" s="1"/>
  <c r="T27" a="1"/>
  <c r="T27" s="1"/>
  <c r="U24" a="1"/>
  <c r="U24" s="1"/>
  <c r="T23" a="1"/>
  <c r="T23" s="1"/>
  <c r="U37" a="1"/>
  <c r="U37" s="1"/>
  <c r="T36" a="1"/>
  <c r="T36" s="1"/>
  <c r="U33" a="1"/>
  <c r="U33" s="1"/>
  <c r="T32" a="1"/>
  <c r="T32" s="1"/>
  <c r="U30" a="1"/>
  <c r="U30" s="1"/>
  <c r="T38" a="1"/>
  <c r="T38" s="1"/>
  <c r="T46" a="1"/>
  <c r="T46" s="1"/>
  <c r="U43" a="1"/>
  <c r="U43" s="1"/>
  <c r="T42" a="1"/>
  <c r="T42" s="1"/>
  <c r="U39" a="1"/>
  <c r="U39" s="1"/>
  <c r="T47" a="1"/>
  <c r="T47" s="1"/>
  <c r="T49" a="1"/>
  <c r="T49" s="1"/>
  <c r="T51" a="1"/>
  <c r="T51" s="1"/>
  <c r="T53" a="1"/>
  <c r="T53" s="1"/>
  <c r="T55" a="1"/>
  <c r="T55" s="1"/>
  <c r="U9" a="1"/>
  <c r="U9" s="1"/>
  <c r="T44" a="1"/>
  <c r="T44" s="1"/>
  <c r="T40" a="1"/>
  <c r="T40" s="1"/>
  <c r="T48" a="1"/>
  <c r="T48" s="1"/>
  <c r="T50" a="1"/>
  <c r="T50" s="1"/>
  <c r="T52" a="1"/>
  <c r="T52" s="1"/>
  <c r="U10" a="1"/>
  <c r="U10" s="1"/>
  <c r="U19" a="1"/>
  <c r="U19" s="1"/>
  <c r="U27" a="1"/>
  <c r="U27" s="1"/>
  <c r="T26" a="1"/>
  <c r="T26" s="1"/>
  <c r="U23" a="1"/>
  <c r="U23" s="1"/>
  <c r="T22" a="1"/>
  <c r="T22" s="1"/>
  <c r="T31" a="1"/>
  <c r="T31" s="1"/>
  <c r="U48" a="1"/>
  <c r="U48" s="1"/>
  <c r="U50" a="1"/>
  <c r="U50" s="1"/>
  <c r="U54" a="1"/>
  <c r="U54" s="1"/>
  <c r="U6" a="1"/>
  <c r="U6" s="1"/>
  <c r="T19" a="1"/>
  <c r="T19" s="1"/>
  <c r="T18" a="1"/>
  <c r="T18" s="1"/>
  <c r="T17" a="1"/>
  <c r="T17" s="1"/>
  <c r="T16" a="1"/>
  <c r="T16" s="1"/>
  <c r="T15" a="1"/>
  <c r="T15" s="1"/>
  <c r="T14" a="1"/>
  <c r="T14" s="1"/>
  <c r="T13" a="1"/>
  <c r="T13" s="1"/>
  <c r="T20" a="1"/>
  <c r="T20" s="1"/>
  <c r="T28" a="1"/>
  <c r="T28" s="1"/>
  <c r="U25" a="1"/>
  <c r="U25" s="1"/>
  <c r="T29" a="1"/>
  <c r="T29" s="1"/>
  <c r="T37" a="1"/>
  <c r="T37" s="1"/>
  <c r="T33" a="1"/>
  <c r="T33" s="1"/>
  <c r="U38" a="1"/>
  <c r="U38" s="1"/>
  <c r="U44" a="1"/>
  <c r="U44" s="1"/>
  <c r="T43" a="1"/>
  <c r="T43" s="1"/>
  <c r="U47" a="1"/>
  <c r="U47" s="1"/>
  <c r="U49" a="1"/>
  <c r="U49" s="1"/>
  <c r="U51" a="1"/>
  <c r="U51" s="1"/>
  <c r="U53" a="1"/>
  <c r="U53" s="1"/>
  <c r="R35" a="1"/>
  <c r="R35" s="1"/>
  <c r="R30" a="1"/>
  <c r="R30" s="1"/>
  <c r="Q46" a="1"/>
  <c r="Q46" s="1"/>
  <c r="Q42" a="1"/>
  <c r="Q42" s="1"/>
  <c r="R50" a="1"/>
  <c r="R50" s="1"/>
  <c r="R34" a="1"/>
  <c r="R34" s="1"/>
  <c r="Q49" a="1"/>
  <c r="Q49" s="1"/>
  <c r="R29" a="1"/>
  <c r="R29" s="1"/>
  <c r="R33" a="1"/>
  <c r="R33" s="1"/>
  <c r="Q44" a="1"/>
  <c r="Q44" s="1"/>
  <c r="Q40" a="1"/>
  <c r="Q40" s="1"/>
  <c r="R54" a="1"/>
  <c r="R54" s="1"/>
  <c r="O54" a="1"/>
  <c r="O54" s="1"/>
  <c r="N39" a="1"/>
  <c r="N39" s="1"/>
  <c r="O50" a="1"/>
  <c r="O50" s="1"/>
  <c r="O16" a="1"/>
  <c r="O16" s="1"/>
  <c r="K38" a="1"/>
  <c r="K38" s="1"/>
  <c r="H7" a="1"/>
  <c r="H7" s="1"/>
  <c r="K33" a="1"/>
  <c r="K33" s="1"/>
  <c r="Q34" a="1"/>
  <c r="Q34" s="1"/>
  <c r="Q30" a="1"/>
  <c r="Q30" s="1"/>
  <c r="N42" a="1"/>
  <c r="N42" s="1"/>
  <c r="O53" a="1"/>
  <c r="O53" s="1"/>
  <c r="O49" a="1"/>
  <c r="O49" s="1"/>
  <c r="R28" a="1"/>
  <c r="R28" s="1"/>
  <c r="R27" a="1"/>
  <c r="R27" s="1"/>
  <c r="R26" a="1"/>
  <c r="R26" s="1"/>
  <c r="R25" a="1"/>
  <c r="R25" s="1"/>
  <c r="R24" a="1"/>
  <c r="R24" s="1"/>
  <c r="R23" a="1"/>
  <c r="R23" s="1"/>
  <c r="R22" a="1"/>
  <c r="R22" s="1"/>
  <c r="R21" a="1"/>
  <c r="R21" s="1"/>
  <c r="R36" a="1"/>
  <c r="R36" s="1"/>
  <c r="Q35" a="1"/>
  <c r="Q35" s="1"/>
  <c r="Q31" a="1"/>
  <c r="Q31" s="1"/>
  <c r="R38" a="1"/>
  <c r="R38" s="1"/>
  <c r="Q45" a="1"/>
  <c r="Q45" s="1"/>
  <c r="Q43" a="1"/>
  <c r="Q43" s="1"/>
  <c r="Q41" a="1"/>
  <c r="Q41" s="1"/>
  <c r="Q47" a="1"/>
  <c r="Q47" s="1"/>
  <c r="R55" a="1"/>
  <c r="R55" s="1"/>
  <c r="Q54" a="1"/>
  <c r="Q54" s="1"/>
  <c r="R51" a="1"/>
  <c r="R51" s="1"/>
  <c r="Q50" a="1"/>
  <c r="Q50" s="1"/>
  <c r="H30" a="1"/>
  <c r="H30" s="1"/>
  <c r="L19" a="1"/>
  <c r="L19" s="1"/>
  <c r="H35" a="1"/>
  <c r="H35" s="1"/>
  <c r="K29" a="1"/>
  <c r="K29" s="1"/>
  <c r="K40" a="1"/>
  <c r="K40" s="1"/>
  <c r="L49" a="1"/>
  <c r="L49" s="1"/>
  <c r="N43" a="1"/>
  <c r="N43" s="1"/>
  <c r="N47" a="1"/>
  <c r="N47" s="1"/>
  <c r="O52" a="1"/>
  <c r="O52" s="1"/>
  <c r="O48" a="1"/>
  <c r="O48" s="1"/>
  <c r="Q20" a="1"/>
  <c r="Q20" s="1"/>
  <c r="Q36" a="1"/>
  <c r="Q36" s="1"/>
  <c r="Q32" a="1"/>
  <c r="Q32" s="1"/>
  <c r="R46" a="1"/>
  <c r="R46" s="1"/>
  <c r="R44" a="1"/>
  <c r="R44" s="1"/>
  <c r="R42" a="1"/>
  <c r="R42" s="1"/>
  <c r="Q55" a="1"/>
  <c r="Q55" s="1"/>
  <c r="R52" a="1"/>
  <c r="R52" s="1"/>
  <c r="Q51" a="1"/>
  <c r="Q51" s="1"/>
  <c r="R48" a="1"/>
  <c r="R48" s="1"/>
  <c r="K32" a="1"/>
  <c r="K32" s="1"/>
  <c r="L53" a="1"/>
  <c r="L53" s="1"/>
  <c r="E53" a="1"/>
  <c r="E53" s="1"/>
  <c r="H28" a="1"/>
  <c r="H28" s="1"/>
  <c r="H34" a="1"/>
  <c r="H34" s="1"/>
  <c r="K37" a="1"/>
  <c r="K37" s="1"/>
  <c r="O11" a="1"/>
  <c r="O11" s="1"/>
  <c r="N38" a="1"/>
  <c r="N38" s="1"/>
  <c r="N46" a="1"/>
  <c r="N46" s="1"/>
  <c r="O55" a="1"/>
  <c r="O55" s="1"/>
  <c r="O51" a="1"/>
  <c r="O51" s="1"/>
  <c r="R20" a="1"/>
  <c r="R20" s="1"/>
  <c r="Q28" a="1"/>
  <c r="Q28" s="1"/>
  <c r="Q27" a="1"/>
  <c r="Q27" s="1"/>
  <c r="Q26" a="1"/>
  <c r="Q26" s="1"/>
  <c r="Q25" a="1"/>
  <c r="Q25" s="1"/>
  <c r="Q24" a="1"/>
  <c r="Q24" s="1"/>
  <c r="Q23" a="1"/>
  <c r="Q23" s="1"/>
  <c r="Q22" a="1"/>
  <c r="Q22" s="1"/>
  <c r="Q29" a="1"/>
  <c r="Q29" s="1"/>
  <c r="Q37" a="1"/>
  <c r="Q37" s="1"/>
  <c r="R47" a="1"/>
  <c r="R47" s="1"/>
  <c r="R53" a="1"/>
  <c r="R53" s="1"/>
  <c r="Q52" a="1"/>
  <c r="Q52" s="1"/>
  <c r="R18" a="1"/>
  <c r="R18" s="1"/>
  <c r="Q8" a="1"/>
  <c r="Q8" s="1"/>
  <c r="R14" a="1"/>
  <c r="R14" s="1"/>
  <c r="R19" a="1"/>
  <c r="R19" s="1"/>
  <c r="Q18" a="1"/>
  <c r="Q18" s="1"/>
  <c r="R15" a="1"/>
  <c r="R15" s="1"/>
  <c r="Q14" a="1"/>
  <c r="Q14" s="1"/>
  <c r="R9" a="1"/>
  <c r="R9" s="1"/>
  <c r="Q17" a="1"/>
  <c r="Q17" s="1"/>
  <c r="Q13" a="1"/>
  <c r="Q13" s="1"/>
  <c r="R10" a="1"/>
  <c r="R10" s="1"/>
  <c r="Q9" a="1"/>
  <c r="Q9" s="1"/>
  <c r="Q6" a="1"/>
  <c r="Q6" s="1"/>
  <c r="Q10" a="1"/>
  <c r="Q10" s="1"/>
  <c r="R7" a="1"/>
  <c r="R7" s="1"/>
  <c r="Q11" a="1"/>
  <c r="Q11" s="1"/>
  <c r="Q19" a="1"/>
  <c r="Q19" s="1"/>
  <c r="R16" a="1"/>
  <c r="R16" s="1"/>
  <c r="Q15" a="1"/>
  <c r="Q15" s="1"/>
  <c r="R12" a="1"/>
  <c r="R12" s="1"/>
  <c r="R6" a="1"/>
  <c r="R6" s="1"/>
  <c r="R11" a="1"/>
  <c r="R11" s="1"/>
  <c r="R17" a="1"/>
  <c r="R17" s="1"/>
  <c r="Q16" a="1"/>
  <c r="Q16" s="1"/>
  <c r="K16" a="1"/>
  <c r="K16" s="1"/>
  <c r="K14" a="1"/>
  <c r="K14" s="1"/>
  <c r="N26" a="1"/>
  <c r="N26" s="1"/>
  <c r="H24" a="1"/>
  <c r="H24" s="1"/>
  <c r="L18" a="1"/>
  <c r="L18" s="1"/>
  <c r="K13" a="1"/>
  <c r="K13" s="1"/>
  <c r="L27" a="1"/>
  <c r="L27" s="1"/>
  <c r="O18" a="1"/>
  <c r="O18" s="1"/>
  <c r="O14" a="1"/>
  <c r="O14" s="1"/>
  <c r="H9" a="1"/>
  <c r="H9" s="1"/>
  <c r="H20" a="1"/>
  <c r="H20" s="1"/>
  <c r="H31" a="1"/>
  <c r="H31" s="1"/>
  <c r="H38" a="1"/>
  <c r="H38" s="1"/>
  <c r="K17" a="1"/>
  <c r="K17" s="1"/>
  <c r="L14" a="1"/>
  <c r="L14" s="1"/>
  <c r="K36" a="1"/>
  <c r="K36" s="1"/>
  <c r="K41" a="1"/>
  <c r="K41" s="1"/>
  <c r="L47" a="1"/>
  <c r="L47" s="1"/>
  <c r="O17" a="1"/>
  <c r="O17" s="1"/>
  <c r="O13" a="1"/>
  <c r="O13" s="1"/>
  <c r="N28" a="1"/>
  <c r="N28" s="1"/>
  <c r="O35" a="1"/>
  <c r="O35" s="1"/>
  <c r="O31" a="1"/>
  <c r="O31" s="1"/>
  <c r="N41" a="1"/>
  <c r="N41" s="1"/>
  <c r="N45" a="1"/>
  <c r="N45" s="1"/>
  <c r="N24" a="1"/>
  <c r="N24" s="1"/>
  <c r="O29" a="1"/>
  <c r="O29" s="1"/>
  <c r="O34" a="1"/>
  <c r="O34" s="1"/>
  <c r="O30" a="1"/>
  <c r="O30" s="1"/>
  <c r="E49" a="1"/>
  <c r="E49" s="1"/>
  <c r="I23" a="1"/>
  <c r="I23" s="1"/>
  <c r="L7" a="1"/>
  <c r="L7" s="1"/>
  <c r="K18" a="1"/>
  <c r="K18" s="1"/>
  <c r="L15" a="1"/>
  <c r="L15" s="1"/>
  <c r="K12" a="1"/>
  <c r="K12" s="1"/>
  <c r="L23" a="1"/>
  <c r="L23" s="1"/>
  <c r="K44" a="1"/>
  <c r="K44" s="1"/>
  <c r="O9" a="1"/>
  <c r="O9" s="1"/>
  <c r="N20" a="1"/>
  <c r="N20" s="1"/>
  <c r="N22" a="1"/>
  <c r="N22" s="1"/>
  <c r="O37" a="1"/>
  <c r="O37" s="1"/>
  <c r="O33" a="1"/>
  <c r="O33" s="1"/>
  <c r="N40" a="1"/>
  <c r="N40" s="1"/>
  <c r="N55" a="1"/>
  <c r="N55" s="1"/>
  <c r="N54" a="1"/>
  <c r="N54" s="1"/>
  <c r="N53" a="1"/>
  <c r="N53" s="1"/>
  <c r="N52" a="1"/>
  <c r="N52" s="1"/>
  <c r="N51" a="1"/>
  <c r="N51" s="1"/>
  <c r="N50" a="1"/>
  <c r="N50" s="1"/>
  <c r="N49" a="1"/>
  <c r="N49" s="1"/>
  <c r="N34" a="1"/>
  <c r="N34" s="1"/>
  <c r="N30" a="1"/>
  <c r="N30" s="1"/>
  <c r="O6" a="1"/>
  <c r="O6" s="1"/>
  <c r="O10" a="1"/>
  <c r="O10" s="1"/>
  <c r="O19" a="1"/>
  <c r="O19" s="1"/>
  <c r="N18" a="1"/>
  <c r="N18" s="1"/>
  <c r="O15" a="1"/>
  <c r="O15" s="1"/>
  <c r="N14" a="1"/>
  <c r="N14" s="1"/>
  <c r="O28" a="1"/>
  <c r="O28" s="1"/>
  <c r="N27" a="1"/>
  <c r="N27" s="1"/>
  <c r="O24" a="1"/>
  <c r="O24" s="1"/>
  <c r="N23" a="1"/>
  <c r="N23" s="1"/>
  <c r="O36" a="1"/>
  <c r="O36" s="1"/>
  <c r="N35" a="1"/>
  <c r="N35" s="1"/>
  <c r="N31" a="1"/>
  <c r="N31" s="1"/>
  <c r="O38" a="1"/>
  <c r="O38" s="1"/>
  <c r="O40" a="1"/>
  <c r="O40" s="1"/>
  <c r="O42" a="1"/>
  <c r="O42" s="1"/>
  <c r="O44" a="1"/>
  <c r="O44" s="1"/>
  <c r="O46" a="1"/>
  <c r="O46" s="1"/>
  <c r="O27" a="1"/>
  <c r="O27" s="1"/>
  <c r="O23" a="1"/>
  <c r="O23" s="1"/>
  <c r="O7" a="1"/>
  <c r="O7" s="1"/>
  <c r="N19" a="1"/>
  <c r="N19" s="1"/>
  <c r="N15" a="1"/>
  <c r="N15" s="1"/>
  <c r="N12" a="1"/>
  <c r="N12" s="1"/>
  <c r="O25" a="1"/>
  <c r="O25" s="1"/>
  <c r="O21" a="1"/>
  <c r="O21" s="1"/>
  <c r="N36" a="1"/>
  <c r="N36" s="1"/>
  <c r="N32" a="1"/>
  <c r="N32" s="1"/>
  <c r="N17" a="1"/>
  <c r="N17" s="1"/>
  <c r="N13" a="1"/>
  <c r="N13" s="1"/>
  <c r="N11" a="1"/>
  <c r="N11" s="1"/>
  <c r="O26" a="1"/>
  <c r="O26" s="1"/>
  <c r="N25" a="1"/>
  <c r="N25" s="1"/>
  <c r="N29" a="1"/>
  <c r="N29" s="1"/>
  <c r="N37" a="1"/>
  <c r="N37" s="1"/>
  <c r="O39" a="1"/>
  <c r="O39" s="1"/>
  <c r="O41" a="1"/>
  <c r="O41" s="1"/>
  <c r="O43" a="1"/>
  <c r="O43" s="1"/>
  <c r="N9" a="1"/>
  <c r="N9" s="1"/>
  <c r="N6" a="1"/>
  <c r="N6" s="1"/>
  <c r="N10" a="1"/>
  <c r="N10" s="1"/>
  <c r="N7" a="1"/>
  <c r="N7" s="1"/>
  <c r="K26" a="1"/>
  <c r="K26" s="1"/>
  <c r="L33" a="1"/>
  <c r="L33" s="1"/>
  <c r="L45" a="1"/>
  <c r="L45" s="1"/>
  <c r="L41" a="1"/>
  <c r="L41" s="1"/>
  <c r="K52" a="1"/>
  <c r="K52" s="1"/>
  <c r="H11" a="1"/>
  <c r="H11" s="1"/>
  <c r="H13" a="1"/>
  <c r="H13" s="1"/>
  <c r="I29" a="1"/>
  <c r="I29" s="1"/>
  <c r="L28" a="1"/>
  <c r="L28" s="1"/>
  <c r="K27" a="1"/>
  <c r="K27" s="1"/>
  <c r="L24" a="1"/>
  <c r="L24" s="1"/>
  <c r="K23" a="1"/>
  <c r="K23" s="1"/>
  <c r="L21" a="1"/>
  <c r="L21" s="1"/>
  <c r="L34" a="1"/>
  <c r="L34" s="1"/>
  <c r="L30" a="1"/>
  <c r="L30" s="1"/>
  <c r="L46" a="1"/>
  <c r="L46" s="1"/>
  <c r="L42" a="1"/>
  <c r="L42" s="1"/>
  <c r="L54" a="1"/>
  <c r="L54" s="1"/>
  <c r="K53" a="1"/>
  <c r="K53" s="1"/>
  <c r="L50" a="1"/>
  <c r="L50" s="1"/>
  <c r="K49" a="1"/>
  <c r="K49" s="1"/>
  <c r="K6" a="1"/>
  <c r="K6" s="1"/>
  <c r="K10" a="1"/>
  <c r="K10" s="1"/>
  <c r="K22" a="1"/>
  <c r="K22" s="1"/>
  <c r="K48" a="1"/>
  <c r="K48" s="1"/>
  <c r="E23" a="1"/>
  <c r="E23" s="1"/>
  <c r="F47" a="1"/>
  <c r="F47" s="1"/>
  <c r="E52" a="1"/>
  <c r="E52" s="1"/>
  <c r="E48" a="1"/>
  <c r="E48" s="1"/>
  <c r="L6" a="1"/>
  <c r="L6" s="1"/>
  <c r="L8" a="1"/>
  <c r="L8" s="1"/>
  <c r="K7" a="1"/>
  <c r="K7" s="1"/>
  <c r="E20" a="1"/>
  <c r="E20" s="1"/>
  <c r="E22" a="1"/>
  <c r="E22" s="1"/>
  <c r="E55" a="1"/>
  <c r="E55" s="1"/>
  <c r="E51" a="1"/>
  <c r="E51" s="1"/>
  <c r="H19" a="1"/>
  <c r="H19" s="1"/>
  <c r="I27" a="1"/>
  <c r="I27" s="1"/>
  <c r="H21" a="1"/>
  <c r="H21" s="1"/>
  <c r="H37" a="1"/>
  <c r="H37" s="1"/>
  <c r="H33" a="1"/>
  <c r="H33" s="1"/>
  <c r="L9" a="1"/>
  <c r="L9" s="1"/>
  <c r="K8" a="1"/>
  <c r="K8" s="1"/>
  <c r="K11" a="1"/>
  <c r="K11" s="1"/>
  <c r="K19" a="1"/>
  <c r="K19" s="1"/>
  <c r="L16" a="1"/>
  <c r="L16" s="1"/>
  <c r="L12" a="1"/>
  <c r="L12" s="1"/>
  <c r="K20" a="1"/>
  <c r="K20" s="1"/>
  <c r="K28" a="1"/>
  <c r="K28" s="1"/>
  <c r="L25" a="1"/>
  <c r="L25" s="1"/>
  <c r="K24" a="1"/>
  <c r="K24" s="1"/>
  <c r="K21" a="1"/>
  <c r="K21" s="1"/>
  <c r="L29" a="1"/>
  <c r="L29" s="1"/>
  <c r="L35" a="1"/>
  <c r="L35" s="1"/>
  <c r="K34" a="1"/>
  <c r="K34" s="1"/>
  <c r="L31" a="1"/>
  <c r="L31" s="1"/>
  <c r="K30" a="1"/>
  <c r="K30" s="1"/>
  <c r="K46" a="1"/>
  <c r="K46" s="1"/>
  <c r="L43" a="1"/>
  <c r="L43" s="1"/>
  <c r="K42" a="1"/>
  <c r="K42" s="1"/>
  <c r="L39" a="1"/>
  <c r="L39" s="1"/>
  <c r="L55" a="1"/>
  <c r="L55" s="1"/>
  <c r="K54" a="1"/>
  <c r="K54" s="1"/>
  <c r="L51" a="1"/>
  <c r="L51" s="1"/>
  <c r="K50" a="1"/>
  <c r="K50" s="1"/>
  <c r="E25" a="1"/>
  <c r="E25" s="1"/>
  <c r="H15" a="1"/>
  <c r="H15" s="1"/>
  <c r="L37" a="1"/>
  <c r="L37" s="1"/>
  <c r="E27" a="1"/>
  <c r="E27" s="1"/>
  <c r="E54" a="1"/>
  <c r="E54" s="1"/>
  <c r="E50" a="1"/>
  <c r="E50" s="1"/>
  <c r="H17" a="1"/>
  <c r="H17" s="1"/>
  <c r="I25" a="1"/>
  <c r="I25" s="1"/>
  <c r="H36" a="1"/>
  <c r="H36" s="1"/>
  <c r="H32" a="1"/>
  <c r="H32" s="1"/>
  <c r="H47" a="1"/>
  <c r="H47" s="1"/>
  <c r="L11" a="1"/>
  <c r="L11" s="1"/>
  <c r="L17" a="1"/>
  <c r="L17" s="1"/>
  <c r="L20" a="1"/>
  <c r="L20" s="1"/>
  <c r="L26" a="1"/>
  <c r="L26" s="1"/>
  <c r="L36" a="1"/>
  <c r="L36" s="1"/>
  <c r="K35" a="1"/>
  <c r="K35" s="1"/>
  <c r="L38" a="1"/>
  <c r="L38" s="1"/>
  <c r="L44" a="1"/>
  <c r="L44" s="1"/>
  <c r="K43" a="1"/>
  <c r="K43" s="1"/>
  <c r="K47" a="1"/>
  <c r="K47" s="1"/>
  <c r="K55" a="1"/>
  <c r="K55" s="1"/>
  <c r="L52" a="1"/>
  <c r="L52" s="1"/>
  <c r="F17" a="1"/>
  <c r="F17" s="1"/>
  <c r="F13" a="1"/>
  <c r="F13" s="1"/>
  <c r="F27" a="1"/>
  <c r="F27" s="1"/>
  <c r="F23" a="1"/>
  <c r="F23" s="1"/>
  <c r="H6" a="1"/>
  <c r="H6" s="1"/>
  <c r="H10" a="1"/>
  <c r="H10" s="1"/>
  <c r="I7" a="1"/>
  <c r="I7" s="1"/>
  <c r="I11" a="1"/>
  <c r="I11" s="1"/>
  <c r="I17" a="1"/>
  <c r="I17" s="1"/>
  <c r="H16" a="1"/>
  <c r="H16" s="1"/>
  <c r="I13" a="1"/>
  <c r="I13" s="1"/>
  <c r="H12" a="1"/>
  <c r="H12" s="1"/>
  <c r="I20" a="1"/>
  <c r="I20" s="1"/>
  <c r="I26" a="1"/>
  <c r="I26" s="1"/>
  <c r="H25" a="1"/>
  <c r="H25" s="1"/>
  <c r="I22" a="1"/>
  <c r="I22" s="1"/>
  <c r="I38" a="1"/>
  <c r="I38" s="1"/>
  <c r="H46" a="1"/>
  <c r="H46" s="1"/>
  <c r="H45" a="1"/>
  <c r="H45" s="1"/>
  <c r="H44" a="1"/>
  <c r="H44" s="1"/>
  <c r="H43" a="1"/>
  <c r="H43" s="1"/>
  <c r="H42" a="1"/>
  <c r="H42" s="1"/>
  <c r="H41" a="1"/>
  <c r="H41" s="1"/>
  <c r="H40" a="1"/>
  <c r="H40" s="1"/>
  <c r="I47" a="1"/>
  <c r="I47" s="1"/>
  <c r="H55" a="1"/>
  <c r="H55" s="1"/>
  <c r="H54" a="1"/>
  <c r="H54" s="1"/>
  <c r="H53" a="1"/>
  <c r="H53" s="1"/>
  <c r="H52" a="1"/>
  <c r="H52" s="1"/>
  <c r="H51" a="1"/>
  <c r="H51" s="1"/>
  <c r="H50" a="1"/>
  <c r="H50" s="1"/>
  <c r="H49" a="1"/>
  <c r="H49" s="1"/>
  <c r="F18" a="1"/>
  <c r="F18" s="1"/>
  <c r="F14" a="1"/>
  <c r="F14" s="1"/>
  <c r="I16" a="1"/>
  <c r="I16" s="1"/>
  <c r="F16" a="1"/>
  <c r="F16" s="1"/>
  <c r="F12" a="1"/>
  <c r="F12" s="1"/>
  <c r="I6" a="1"/>
  <c r="I6" s="1"/>
  <c r="I8" a="1"/>
  <c r="I8" s="1"/>
  <c r="I18" a="1"/>
  <c r="I18" s="1"/>
  <c r="I14" a="1"/>
  <c r="I14" s="1"/>
  <c r="H26" a="1"/>
  <c r="H26" s="1"/>
  <c r="H22" a="1"/>
  <c r="H22" s="1"/>
  <c r="I37" a="1"/>
  <c r="I37" s="1"/>
  <c r="I36" a="1"/>
  <c r="I36" s="1"/>
  <c r="I35" a="1"/>
  <c r="I35" s="1"/>
  <c r="I34" a="1"/>
  <c r="I34" s="1"/>
  <c r="I33" a="1"/>
  <c r="I33" s="1"/>
  <c r="I32" a="1"/>
  <c r="I32" s="1"/>
  <c r="I31" a="1"/>
  <c r="I31" s="1"/>
  <c r="I12" a="1"/>
  <c r="I12" s="1"/>
  <c r="F19" a="1"/>
  <c r="F19" s="1"/>
  <c r="F15" a="1"/>
  <c r="F15" s="1"/>
  <c r="F20" a="1"/>
  <c r="F20" s="1"/>
  <c r="E26" a="1"/>
  <c r="E26" s="1"/>
  <c r="I9" a="1"/>
  <c r="I9" s="1"/>
  <c r="I19" a="1"/>
  <c r="I19" s="1"/>
  <c r="H18" a="1"/>
  <c r="H18" s="1"/>
  <c r="I28" a="1"/>
  <c r="I28" s="1"/>
  <c r="H27" a="1"/>
  <c r="H27" s="1"/>
  <c r="I24" a="1"/>
  <c r="I24" s="1"/>
  <c r="I46" a="1"/>
  <c r="I46" s="1"/>
  <c r="I45" a="1"/>
  <c r="I45" s="1"/>
  <c r="I44" a="1"/>
  <c r="I44" s="1"/>
  <c r="I43" a="1"/>
  <c r="I43" s="1"/>
  <c r="I42" a="1"/>
  <c r="I42" s="1"/>
  <c r="I41" a="1"/>
  <c r="I41" s="1"/>
  <c r="I40" a="1"/>
  <c r="I40" s="1"/>
  <c r="I55" a="1"/>
  <c r="I55" s="1"/>
  <c r="I54" a="1"/>
  <c r="I54" s="1"/>
  <c r="I53" a="1"/>
  <c r="I53" s="1"/>
  <c r="I52" a="1"/>
  <c r="I52" s="1"/>
  <c r="I51" a="1"/>
  <c r="I51" s="1"/>
  <c r="I50" a="1"/>
  <c r="I50" s="1"/>
  <c r="I49" a="1"/>
  <c r="I49" s="1"/>
  <c r="F29" a="1"/>
  <c r="F29" s="1"/>
  <c r="F30" a="1"/>
  <c r="F30" s="1"/>
  <c r="F31" a="1"/>
  <c r="F31" s="1"/>
  <c r="F32" a="1"/>
  <c r="F32" s="1"/>
  <c r="F33" a="1"/>
  <c r="F33" s="1"/>
  <c r="F34" a="1"/>
  <c r="F34" s="1"/>
  <c r="F35" a="1"/>
  <c r="F35" s="1"/>
  <c r="F36" a="1"/>
  <c r="F36" s="1"/>
  <c r="F37" a="1"/>
  <c r="F37" s="1"/>
  <c r="E30" a="1"/>
  <c r="E30" s="1"/>
  <c r="E31" a="1"/>
  <c r="E31" s="1"/>
  <c r="E32" a="1"/>
  <c r="E32" s="1"/>
  <c r="E33" a="1"/>
  <c r="E33" s="1"/>
  <c r="E34" a="1"/>
  <c r="E34" s="1"/>
  <c r="E35" a="1"/>
  <c r="E35" s="1"/>
  <c r="E36" a="1"/>
  <c r="E36" s="1"/>
  <c r="E37" a="1"/>
  <c r="E37" s="1"/>
  <c r="E29" a="1"/>
  <c r="E29" s="1"/>
  <c r="E12" a="1"/>
  <c r="E12" s="1"/>
  <c r="E13" a="1"/>
  <c r="E13" s="1"/>
  <c r="E14" a="1"/>
  <c r="E14" s="1"/>
  <c r="E15" a="1"/>
  <c r="E15" s="1"/>
  <c r="E16" a="1"/>
  <c r="E16" s="1"/>
  <c r="E17" a="1"/>
  <c r="E17" s="1"/>
  <c r="E18" a="1"/>
  <c r="E18" s="1"/>
  <c r="E19" a="1"/>
  <c r="E19" s="1"/>
  <c r="E39" a="1"/>
  <c r="E39" s="1"/>
  <c r="E41" a="1"/>
  <c r="E41" s="1"/>
  <c r="E43" a="1"/>
  <c r="E43" s="1"/>
  <c r="E45" a="1"/>
  <c r="E45" s="1"/>
  <c r="E38" a="1"/>
  <c r="E38" s="1"/>
  <c r="E40" a="1"/>
  <c r="E40" s="1"/>
  <c r="E42" a="1"/>
  <c r="E42" s="1"/>
  <c r="E44" a="1"/>
  <c r="E44" s="1"/>
  <c r="E46" a="1"/>
  <c r="E46" s="1"/>
  <c r="F25" a="1"/>
  <c r="F25" s="1"/>
  <c r="F21" a="1"/>
  <c r="F21" s="1"/>
  <c r="F24" a="1"/>
  <c r="F24" s="1"/>
  <c r="F28" a="1"/>
  <c r="F28" s="1"/>
  <c r="F26" a="1"/>
  <c r="F26" s="1"/>
  <c r="F46" a="1"/>
  <c r="F46" s="1"/>
  <c r="F44" a="1"/>
  <c r="F44" s="1"/>
  <c r="F42" a="1"/>
  <c r="F42" s="1"/>
  <c r="F40" a="1"/>
  <c r="F40" s="1"/>
  <c r="F45" a="1"/>
  <c r="F45" s="1"/>
  <c r="F43" a="1"/>
  <c r="F43" s="1"/>
  <c r="F41" a="1"/>
  <c r="F41" s="1"/>
  <c r="F39" a="1"/>
  <c r="F39" s="1"/>
  <c r="E28" a="1"/>
  <c r="E28" s="1"/>
  <c r="E24" a="1"/>
  <c r="E24" s="1"/>
  <c r="F55" a="1"/>
  <c r="F55" s="1"/>
  <c r="F54" a="1"/>
  <c r="F54" s="1"/>
  <c r="F53" a="1"/>
  <c r="F53" s="1"/>
  <c r="F52" a="1"/>
  <c r="F52" s="1"/>
  <c r="F51" a="1"/>
  <c r="F51" s="1"/>
  <c r="F50" a="1"/>
  <c r="F50" s="1"/>
  <c r="F49" a="1"/>
  <c r="F49" s="1"/>
  <c r="F10"/>
  <c r="E10"/>
  <c r="E6"/>
  <c r="F7"/>
  <c r="E8"/>
  <c r="F9"/>
  <c r="E9"/>
  <c r="E7"/>
  <c r="A49"/>
  <c r="A48"/>
  <c r="A40"/>
  <c r="A39"/>
  <c r="A31"/>
  <c r="A30"/>
  <c r="A22"/>
  <c r="A21"/>
  <c r="A13"/>
  <c r="A12"/>
  <c r="A8"/>
  <c r="A7"/>
  <c r="B13" l="1" a="1"/>
  <c r="B13" s="1"/>
  <c r="B17" a="1"/>
  <c r="B17" s="1"/>
  <c r="B12" a="1"/>
  <c r="B12" s="1"/>
  <c r="B16" a="1"/>
  <c r="B16" s="1"/>
  <c r="B11" a="1"/>
  <c r="B11" s="1"/>
  <c r="B15" a="1"/>
  <c r="B15" s="1"/>
  <c r="B19" a="1"/>
  <c r="B19" s="1"/>
  <c r="B14" a="1"/>
  <c r="B14" s="1"/>
  <c r="B18" a="1"/>
  <c r="B18" s="1"/>
  <c r="B30" a="1"/>
  <c r="B30" s="1"/>
  <c r="B34" a="1"/>
  <c r="B34" s="1"/>
  <c r="B32" a="1"/>
  <c r="B32" s="1"/>
  <c r="B36" a="1"/>
  <c r="B36" s="1"/>
  <c r="B33" a="1"/>
  <c r="B33" s="1"/>
  <c r="B37" a="1"/>
  <c r="B37" s="1"/>
  <c r="B29" a="1"/>
  <c r="B29" s="1"/>
  <c r="B31" a="1"/>
  <c r="B31" s="1"/>
  <c r="B35" a="1"/>
  <c r="B35" s="1"/>
  <c r="B48" a="1"/>
  <c r="B48" s="1"/>
  <c r="B52" a="1"/>
  <c r="B52" s="1"/>
  <c r="B51" a="1"/>
  <c r="B51" s="1"/>
  <c r="B55" a="1"/>
  <c r="B55" s="1"/>
  <c r="B47" a="1"/>
  <c r="B47" s="1"/>
  <c r="B50" a="1"/>
  <c r="B50" s="1"/>
  <c r="B54" a="1"/>
  <c r="B54" s="1"/>
  <c r="B53" a="1"/>
  <c r="B53" s="1"/>
  <c r="B49" a="1"/>
  <c r="B49" s="1"/>
  <c r="B10" a="1"/>
  <c r="B10" s="1"/>
  <c r="B6" a="1"/>
  <c r="B6" s="1"/>
  <c r="B9" a="1"/>
  <c r="B9" s="1"/>
  <c r="B8" a="1"/>
  <c r="B8" s="1"/>
  <c r="B7" a="1"/>
  <c r="B7" s="1"/>
  <c r="B20" a="1"/>
  <c r="B20" s="1"/>
  <c r="B22" a="1"/>
  <c r="B22" s="1"/>
  <c r="B24" a="1"/>
  <c r="B24" s="1"/>
  <c r="B26" a="1"/>
  <c r="B26" s="1"/>
  <c r="B28" a="1"/>
  <c r="B28" s="1"/>
  <c r="B25" a="1"/>
  <c r="B25" s="1"/>
  <c r="B23" a="1"/>
  <c r="B23" s="1"/>
  <c r="B27" a="1"/>
  <c r="B27" s="1"/>
  <c r="B21" a="1"/>
  <c r="B21" s="1"/>
  <c r="B45" a="1"/>
  <c r="B45" s="1"/>
  <c r="B43" a="1"/>
  <c r="B43" s="1"/>
  <c r="B41" a="1"/>
  <c r="B41" s="1"/>
  <c r="B39" a="1"/>
  <c r="B39" s="1"/>
  <c r="B44" a="1"/>
  <c r="B44" s="1"/>
  <c r="B38" a="1"/>
  <c r="B38" s="1"/>
  <c r="B42" a="1"/>
  <c r="B42" s="1"/>
  <c r="B40" a="1"/>
  <c r="B40" s="1"/>
  <c r="B46" a="1"/>
  <c r="B46" s="1"/>
  <c r="C7" a="1"/>
  <c r="C7" s="1"/>
  <c r="C10" a="1"/>
  <c r="C10" s="1"/>
  <c r="C9" a="1"/>
  <c r="C9" s="1"/>
  <c r="C8" a="1"/>
  <c r="C8" s="1"/>
  <c r="C21" a="1"/>
  <c r="C21" s="1"/>
  <c r="C23" a="1"/>
  <c r="C23" s="1"/>
  <c r="C25" a="1"/>
  <c r="C25" s="1"/>
  <c r="C27" a="1"/>
  <c r="C27" s="1"/>
  <c r="C24" a="1"/>
  <c r="C24" s="1"/>
  <c r="C26" a="1"/>
  <c r="C26" s="1"/>
  <c r="C22" a="1"/>
  <c r="C22" s="1"/>
  <c r="C28" a="1"/>
  <c r="C28" s="1"/>
  <c r="C20" a="1"/>
  <c r="C20" s="1"/>
  <c r="C45" a="1"/>
  <c r="C45" s="1"/>
  <c r="C43" a="1"/>
  <c r="C43" s="1"/>
  <c r="C41" a="1"/>
  <c r="C41" s="1"/>
  <c r="C39" a="1"/>
  <c r="C39" s="1"/>
  <c r="C42" a="1"/>
  <c r="C42" s="1"/>
  <c r="C38" a="1"/>
  <c r="C38" s="1"/>
  <c r="C46" a="1"/>
  <c r="C46" s="1"/>
  <c r="C44" a="1"/>
  <c r="C44" s="1"/>
  <c r="C40" a="1"/>
  <c r="C40" s="1"/>
  <c r="C14" a="1"/>
  <c r="C14" s="1"/>
  <c r="C18" a="1"/>
  <c r="C18" s="1"/>
  <c r="C12" a="1"/>
  <c r="C12" s="1"/>
  <c r="C16" a="1"/>
  <c r="C16" s="1"/>
  <c r="C11" a="1"/>
  <c r="C11" s="1"/>
  <c r="C13" a="1"/>
  <c r="C13" s="1"/>
  <c r="C17" a="1"/>
  <c r="C17" s="1"/>
  <c r="C19" a="1"/>
  <c r="C19" s="1"/>
  <c r="C15" a="1"/>
  <c r="C15" s="1"/>
  <c r="C31" a="1"/>
  <c r="C31" s="1"/>
  <c r="C35" a="1"/>
  <c r="C35" s="1"/>
  <c r="C29" a="1"/>
  <c r="C29" s="1"/>
  <c r="C30" a="1"/>
  <c r="C30" s="1"/>
  <c r="C34" a="1"/>
  <c r="C34" s="1"/>
  <c r="C33" a="1"/>
  <c r="C33" s="1"/>
  <c r="C37" a="1"/>
  <c r="C37" s="1"/>
  <c r="C36" a="1"/>
  <c r="C36" s="1"/>
  <c r="C32" a="1"/>
  <c r="C32" s="1"/>
  <c r="C49" a="1"/>
  <c r="C49" s="1"/>
  <c r="C53" a="1"/>
  <c r="C53" s="1"/>
  <c r="C47" a="1"/>
  <c r="C47" s="1"/>
  <c r="C51" a="1"/>
  <c r="C51" s="1"/>
  <c r="C55" a="1"/>
  <c r="C55" s="1"/>
  <c r="C48" a="1"/>
  <c r="C48" s="1"/>
  <c r="C52" a="1"/>
  <c r="C52" s="1"/>
  <c r="C54" a="1"/>
  <c r="C54" s="1"/>
  <c r="C50" a="1"/>
  <c r="C50" s="1"/>
  <c r="C30" i="7"/>
  <c r="D30" s="1"/>
  <c r="C27"/>
  <c r="D27" s="1"/>
  <c r="C24"/>
  <c r="D24" s="1"/>
  <c r="C21"/>
  <c r="D21" s="1"/>
  <c r="C18"/>
  <c r="D18" s="1"/>
  <c r="C15"/>
  <c r="D15" s="1"/>
  <c r="C12"/>
  <c r="D12" s="1"/>
</calcChain>
</file>

<file path=xl/sharedStrings.xml><?xml version="1.0" encoding="utf-8"?>
<sst xmlns="http://schemas.openxmlformats.org/spreadsheetml/2006/main" count="589" uniqueCount="507">
  <si>
    <t>STAGE</t>
  </si>
  <si>
    <t>ACHIEVEMENTS / ACTIVITIES</t>
  </si>
  <si>
    <t>STATUS</t>
  </si>
  <si>
    <t>REMARKS</t>
  </si>
  <si>
    <t>Instructions: Enter "0" under Status if No or None, or "1" if Yes</t>
  </si>
  <si>
    <t>There is a legal framework</t>
  </si>
  <si>
    <t xml:space="preserve">If there is a legal framework, the framework has been reviewed in terms of how current it is.  </t>
  </si>
  <si>
    <t>Legislation includes SOPs on outbreak declaration and response</t>
  </si>
  <si>
    <t>Legislation includes dog keeping and compulsory rabies vaccination</t>
  </si>
  <si>
    <t>Year the framework was reviewed</t>
  </si>
  <si>
    <t>Legal frameworks are in the process of being updated to include specifications on international movements of animals, preferably also compulsory vaccination of dogs</t>
  </si>
  <si>
    <t>National case definition for animal rabies</t>
  </si>
  <si>
    <t>A case definition for animal rabies is available</t>
  </si>
  <si>
    <t>National case definition for human rabies</t>
  </si>
  <si>
    <t>A case definition for human rabies is available</t>
  </si>
  <si>
    <t>Legal framework</t>
  </si>
  <si>
    <t>Rabies is defined as a notifiable disease in humans and animals in the framework</t>
  </si>
  <si>
    <t>Coordinated rabies surveillance systems covering the entire country have been established, including agreed SOPs</t>
  </si>
  <si>
    <t>Collection of health economic data on rabies control at national level has been ongoing</t>
  </si>
  <si>
    <t>Effective surveillance system for rabies maintained</t>
  </si>
  <si>
    <t>Rabies exposure (dog bite) reporting and documentation have been reviewed and data compiled</t>
  </si>
  <si>
    <t>Collection of health economic data on rabies control, availability of some local or national health economic data to make the case for rabies control investment</t>
  </si>
  <si>
    <t>Vigorous surveillance is being conducted</t>
  </si>
  <si>
    <t>Surveillance</t>
  </si>
  <si>
    <t>Reporting of dog rabies from local to national level and data analysis capacity at the national level has been established</t>
  </si>
  <si>
    <t>Reporting of human rabies from local to national level and data analysis capacity at the national level has been established</t>
  </si>
  <si>
    <t>Health economic studies</t>
  </si>
  <si>
    <t>Several rabies suspect sample of either animals or humans is submitted to an international rabies reference laboratory for confirmation</t>
  </si>
  <si>
    <t>Rabies diagnostic capacity has been established in at least one national laboratory</t>
  </si>
  <si>
    <t>Mechanisms and capacity for sample collection and transport have been established</t>
  </si>
  <si>
    <t>Capacity for confirmatory rabies diagnosis in at least one laboratory of the country has been established</t>
  </si>
  <si>
    <t>Possibility for isolation of rabies virus variants has been identified (molecular epidemiology) inside or outside the country</t>
  </si>
  <si>
    <t>An adequate number of samples from suspected cases in dogs in the country are tested on a regular basis</t>
  </si>
  <si>
    <t>An adequate number of samples from suspected cases in susceptible domestic and wild animal species in the country are tested</t>
  </si>
  <si>
    <t>Legislation</t>
  </si>
  <si>
    <t>Maximum possible score = 12</t>
  </si>
  <si>
    <t>Data collection and analysis</t>
  </si>
  <si>
    <t>Maximum possible score = 9</t>
  </si>
  <si>
    <t xml:space="preserve">Contacts to an international rabies reference laboratory or international collaborating/reference center are established </t>
  </si>
  <si>
    <t>Specimen referral to international laboratories</t>
  </si>
  <si>
    <t>Laboratory capacity</t>
  </si>
  <si>
    <t>Laboratory diagnosis is available at central and provincial or district levels for animal samples</t>
  </si>
  <si>
    <t>Laboratory diagnosis is available at central and provincial or district levels for human samples</t>
  </si>
  <si>
    <t>Laboratory testing</t>
  </si>
  <si>
    <t>Laboratory diagnosis</t>
  </si>
  <si>
    <t>Maximum possible score = 10</t>
  </si>
  <si>
    <t>Responsible dog ownership promotion has been included into regular rabies awareness campaigns</t>
  </si>
  <si>
    <t>Results of rabies samples are shared appropriately with local and national authorities</t>
  </si>
  <si>
    <t>Plans for training of trainers, refresher courses on rabies for professionals in human and animal health have been developed</t>
  </si>
  <si>
    <t>Studies on Knowledge, Attitude and Practice (KAP survey) on rabies have been conducted in pilot areas</t>
  </si>
  <si>
    <t>Training of medical and veterinary personnel has been continued</t>
  </si>
  <si>
    <t>Rabies communication plan updated (e.g. Campaigns to promote responsible dog ownership have been expanded to more areas)</t>
  </si>
  <si>
    <t>Public awareness campaigns are directed and adapted to specific target groups</t>
  </si>
  <si>
    <t>Communication plan on approaching rabies elimination is being elaborated and publicized</t>
  </si>
  <si>
    <t>Continue awareness programmes, have been revisited to focus on maintenance of freedom and elimination efforts</t>
  </si>
  <si>
    <t>Campaigns on dog population management and responsible dog ownership maintained</t>
  </si>
  <si>
    <t>Vaccination of domestic dogs is promoted and conducted</t>
  </si>
  <si>
    <t>Intersectoral coordination</t>
  </si>
  <si>
    <t>Continue public awareness campaigns</t>
  </si>
  <si>
    <t>Rabies communication plan</t>
  </si>
  <si>
    <t>Public awareness campaigns have been initiated</t>
  </si>
  <si>
    <t>Education on rabies prevention and control for communities, including dog bite prevention and management of dog bites have been explored</t>
  </si>
  <si>
    <t>A rabies communication plan has been developed</t>
  </si>
  <si>
    <t>Sensitization of community leaders and authorities have been initiated</t>
  </si>
  <si>
    <t>Responsible dog ownership and vaccination of both owned and ownerless dogs have been promoted</t>
  </si>
  <si>
    <t>Rabies awareness campaigns</t>
  </si>
  <si>
    <t>Information, Education, Communication</t>
  </si>
  <si>
    <t>Capacity building</t>
  </si>
  <si>
    <t>Organization of rabies control activities (at least in pilot areas) have been conducted</t>
  </si>
  <si>
    <t>Vaccines and biologics for human rabies prophylaxis are available in the country</t>
  </si>
  <si>
    <t>Distribution of functional rabies treatment centers in the country (e.g. recording number of patients per day, number of doses currently used)</t>
  </si>
  <si>
    <t>Dog rabies vaccines available and access has been scaled up</t>
  </si>
  <si>
    <t>Any use of human biologics not WHO-pre-qualified is being phased out (e.g. nerve tissue vaccines)</t>
  </si>
  <si>
    <t>Only quality dog vaccines in accordance with OIE standards are being used</t>
  </si>
  <si>
    <t>Dog vaccination campaigns are regularly implemented in response to human cases and animal outbreaks</t>
  </si>
  <si>
    <t>SOPs on IBCM have been agreed upon, including sharing of information between sectors</t>
  </si>
  <si>
    <t>SOPs for the observation of dogs involved in biting incidents available</t>
  </si>
  <si>
    <t>Professionals have been trained in outbreak response and investigation</t>
  </si>
  <si>
    <t>Areas free of dog rabies and absence of human rabies have been assessed and verified in accordance with the national rabies control and prevention strategy</t>
  </si>
  <si>
    <t>Dog vaccination campaigns are maintained in zones where dog rabies is still present or where justified otherwise</t>
  </si>
  <si>
    <t>Modified protocols on criteria for PEP administration in rabies free areas have been developed</t>
  </si>
  <si>
    <t>All professionals at risk of contracting rabies have been immunized</t>
  </si>
  <si>
    <t>A long-term plan, including emergency response to outbreaks following re-introduction has been developed</t>
  </si>
  <si>
    <t>Based on a risk assessment, dog vaccination campaigns are maintained where justified</t>
  </si>
  <si>
    <t>Capacity for outbreak and re-introduction response maintained</t>
  </si>
  <si>
    <t>Modified protocols on criteria for PEP administration for rabies free areas implemented</t>
  </si>
  <si>
    <t>Measures applied in designated dog-rabies free zones</t>
  </si>
  <si>
    <t>Human biologics have been made available and accessible to most parts of the country</t>
  </si>
  <si>
    <t>Dog vaccines</t>
  </si>
  <si>
    <t>Human vaccines</t>
  </si>
  <si>
    <t>Facilities for veterinary observation of rabies-suspect biting dog comply with international animal welfare regulations</t>
  </si>
  <si>
    <t>Facilities for veterinary observation of rabies-suspect biting dog have been established in sufficient number</t>
  </si>
  <si>
    <t>Outbreak response and other rabies control activities</t>
  </si>
  <si>
    <t>Dog population studies to determine size, turn-over and accessibility have been conducted in pilot areas</t>
  </si>
  <si>
    <t>More detailed dog ecology and KAP surveys, with refinement of strategy as indicated</t>
  </si>
  <si>
    <t>Identification of main national stakeholders in rabies prevention and control has been carried out</t>
  </si>
  <si>
    <t>Stakeholder consultations held</t>
  </si>
  <si>
    <t>Intersectoral rabies task force, committee or working group established</t>
  </si>
  <si>
    <t>Based from pilot area experience, a short term rabies action plan has been elaborated and endorsed by relevant stakeholders at national and local levels</t>
  </si>
  <si>
    <t>Mechanisms for mobilizing emergency funds in case of an outbreak have been identified</t>
  </si>
  <si>
    <t>Mechanisms for regular intersectoral collaboration are in place and implemented</t>
  </si>
  <si>
    <t>A national intersectoral programme and strategy for rabies prevention, control and elimination has been drafted and shared with all relevant parties</t>
  </si>
  <si>
    <t>Government resources identified and allocated for rabies control</t>
  </si>
  <si>
    <t>Role of private sector has been explained more in detail.</t>
  </si>
  <si>
    <t>The epidemiological situation has been reviewed and national programme and strategy have been adapted as needed</t>
  </si>
  <si>
    <t>Dialogue with neighbouring or other countries has started, establishment of a cross-border plan</t>
  </si>
  <si>
    <t>Veterinary border inspection and quarantine measures are fully implemented in accordance with national regulations</t>
  </si>
  <si>
    <t>Epidemiology situation (including wildlife, if applicable) has been reviewed and the national strategy adapted as needed</t>
  </si>
  <si>
    <t>Intersectoral collaboration</t>
  </si>
  <si>
    <t>National programme and strategy</t>
  </si>
  <si>
    <t>Border control</t>
  </si>
  <si>
    <t>Prevention and Control</t>
  </si>
  <si>
    <t>Dog population related issues</t>
  </si>
  <si>
    <t>Cross-cutting issues</t>
  </si>
  <si>
    <t>Maximum possible score = 25</t>
  </si>
  <si>
    <t>Maximum possible score = 3</t>
  </si>
  <si>
    <t>Agencies the case definition was disseminated to</t>
  </si>
  <si>
    <t>Agencies and lowest local government unit the definition was endorsed to</t>
  </si>
  <si>
    <t>Title of the framework and the year it was passed</t>
  </si>
  <si>
    <t>LEGISLATION</t>
  </si>
  <si>
    <t>DATA COLLECTION AND ANALYSIS</t>
  </si>
  <si>
    <t>LABORATORY DIAGNOSIS</t>
  </si>
  <si>
    <t>INFORMATION, EDUCATION AND COMMUNICATION</t>
  </si>
  <si>
    <t>PREVENTION AND CONTROL</t>
  </si>
  <si>
    <t>DOG POPULATION RELATED ISSUES</t>
  </si>
  <si>
    <t>CROSS-CUTTING ISSUES</t>
  </si>
  <si>
    <t>Thorough (70% of the total dog population) mass dog vaccination campaigns are conducted as scheduled throughout the country</t>
  </si>
  <si>
    <t>A reporting and feedback mechanism between all stakeholders (including local and national, human and animal health offices) has been established</t>
  </si>
  <si>
    <t>Names of international rabies reference laboratories or collaborating/reference centers</t>
  </si>
  <si>
    <t>Year of most recent specimen referral to an international rabies reference laboratory</t>
  </si>
  <si>
    <t>The minimum number of suspect rabid dog heads to be tested set by the national government</t>
  </si>
  <si>
    <t>Timeliness of reporting and feedback, and stakeholders involved</t>
  </si>
  <si>
    <t>Main messages and intended audience</t>
  </si>
  <si>
    <t>Geographic extent of mass dog vaccination and campaigns, and vaccination coverage</t>
  </si>
  <si>
    <t>Main messages and geographic extent</t>
  </si>
  <si>
    <t>Main messages, intended audience and geographic extent</t>
  </si>
  <si>
    <t>Number of functional rabies treatment centers</t>
  </si>
  <si>
    <t>Methods used to measure vaccination coverage</t>
  </si>
  <si>
    <t>Methods used to estimate dog population</t>
  </si>
  <si>
    <t>Evaluation of dog  rabies interventions (eg post-vaccination surveys)</t>
  </si>
  <si>
    <t>Evaluation of human rabies interventions (eg PEP monitoring human patients)</t>
  </si>
  <si>
    <t>Maximum possible score = 15</t>
  </si>
  <si>
    <t>Frequency and methods used</t>
  </si>
  <si>
    <t>Accomplished</t>
  </si>
  <si>
    <t>DATA COLLECTION &amp; ANALYSIS</t>
  </si>
  <si>
    <t>PREVENTION &amp; CONTROL</t>
  </si>
  <si>
    <t>INFORMATION, EDUCATION, COMMUNICATION</t>
  </si>
  <si>
    <t>The animal rabies case definition has been disseminated to relevant professionals</t>
  </si>
  <si>
    <t>The human rabies case definition has been disseminated to relevant professionals</t>
  </si>
  <si>
    <t>The animal rabies case definition has been reviewed and was endorsed (intersectoral approach)</t>
  </si>
  <si>
    <t>The human rabies case definition has been reviewed and was endorsed (intersectoral approach)</t>
  </si>
  <si>
    <t>subcomponent</t>
  </si>
  <si>
    <t>Maximum possible score = 18</t>
  </si>
  <si>
    <t>SUMMARY OF RABIES PROGRAM ACTIVITIES</t>
  </si>
  <si>
    <t>Stepwise Approach towards Rabies Elimination</t>
  </si>
  <si>
    <t>ACCOMPLISHED/ONGOING RABIES PROGRAM ACTIVITIES</t>
  </si>
  <si>
    <t>COUNTRY:</t>
  </si>
  <si>
    <t>PREPARED BY:</t>
  </si>
  <si>
    <t>DESIGNATION:</t>
  </si>
  <si>
    <t>OFFICE:</t>
  </si>
  <si>
    <t>Afghanistan</t>
  </si>
  <si>
    <t>Africa</t>
  </si>
  <si>
    <t>Aland Islands</t>
  </si>
  <si>
    <t>Albania</t>
  </si>
  <si>
    <t>Algeria</t>
  </si>
  <si>
    <t>American Samoa</t>
  </si>
  <si>
    <t>Andorra</t>
  </si>
  <si>
    <t>Angola</t>
  </si>
  <si>
    <t>Anguilla</t>
  </si>
  <si>
    <t>Antarctica</t>
  </si>
  <si>
    <t>Antigua &amp; Barbuda</t>
  </si>
  <si>
    <t>Argentina</t>
  </si>
  <si>
    <t>Armenia</t>
  </si>
  <si>
    <t>Aruba</t>
  </si>
  <si>
    <t>Asia</t>
  </si>
  <si>
    <t>Australia</t>
  </si>
  <si>
    <t>Austria</t>
  </si>
  <si>
    <t>Azerbaijan</t>
  </si>
  <si>
    <t>Bahamas, The</t>
  </si>
  <si>
    <t>Bahrain</t>
  </si>
  <si>
    <t>Bangladesh</t>
  </si>
  <si>
    <t>Barbados</t>
  </si>
  <si>
    <t>Belarus</t>
  </si>
  <si>
    <t>Belgium</t>
  </si>
  <si>
    <t>Belize</t>
  </si>
  <si>
    <t>Benin</t>
  </si>
  <si>
    <t>Bermuda</t>
  </si>
  <si>
    <t>Bhutan</t>
  </si>
  <si>
    <t>Bolivia</t>
  </si>
  <si>
    <t>Bonaire, St.Eustat, Saba</t>
  </si>
  <si>
    <t>Bosnia and Herzegovina</t>
  </si>
  <si>
    <t>Botswana</t>
  </si>
  <si>
    <t>Bouvet Island</t>
  </si>
  <si>
    <t>Brazil</t>
  </si>
  <si>
    <t>British Indian Ocean T.</t>
  </si>
  <si>
    <t>British Virgin Islands</t>
  </si>
  <si>
    <t>Brunei Darussalam</t>
  </si>
  <si>
    <t>Bulgaria</t>
  </si>
  <si>
    <t>Burkina Faso</t>
  </si>
  <si>
    <t>Burundi</t>
  </si>
  <si>
    <t>Cabo Verde</t>
  </si>
  <si>
    <t>Cambodia</t>
  </si>
  <si>
    <t>Cameroon</t>
  </si>
  <si>
    <t>Canada</t>
  </si>
  <si>
    <t>Caribbean, the</t>
  </si>
  <si>
    <t>Cayman Islands</t>
  </si>
  <si>
    <t>Central African Republic</t>
  </si>
  <si>
    <t>Central America</t>
  </si>
  <si>
    <t>Chad</t>
  </si>
  <si>
    <t>Chile</t>
  </si>
  <si>
    <t>China</t>
  </si>
  <si>
    <t>Christmas Island</t>
  </si>
  <si>
    <t>Cocos (Keeling) Islands</t>
  </si>
  <si>
    <t>Colombia</t>
  </si>
  <si>
    <t>Comoros</t>
  </si>
  <si>
    <t>Congo</t>
  </si>
  <si>
    <t>Congo, Dem. Rep. of the</t>
  </si>
  <si>
    <t>Cook Islands</t>
  </si>
  <si>
    <t>Costa Rica</t>
  </si>
  <si>
    <t>Cote D'Ivoire</t>
  </si>
  <si>
    <t>Croatia</t>
  </si>
  <si>
    <t>Cuba</t>
  </si>
  <si>
    <t>Curaçao</t>
  </si>
  <si>
    <t>Cyprus</t>
  </si>
  <si>
    <t>Czech Republic</t>
  </si>
  <si>
    <t>Denmark</t>
  </si>
  <si>
    <t>Djibouti</t>
  </si>
  <si>
    <t>Dominica</t>
  </si>
  <si>
    <t>Dominican Republic</t>
  </si>
  <si>
    <t>East Timor (Timor-Leste)</t>
  </si>
  <si>
    <t>Ecuador</t>
  </si>
  <si>
    <t>Egypt</t>
  </si>
  <si>
    <t>El Salvador</t>
  </si>
  <si>
    <t>Equatorial Guinea</t>
  </si>
  <si>
    <t>Eritrea</t>
  </si>
  <si>
    <t>Estonia</t>
  </si>
  <si>
    <t>Ethiopia</t>
  </si>
  <si>
    <t>Europe</t>
  </si>
  <si>
    <t>European Union</t>
  </si>
  <si>
    <t>Falkland Is. (Malvinas)</t>
  </si>
  <si>
    <t>Faroe Islands</t>
  </si>
  <si>
    <t>Fiji</t>
  </si>
  <si>
    <t>Finland</t>
  </si>
  <si>
    <t>France</t>
  </si>
  <si>
    <t>French Guiana</t>
  </si>
  <si>
    <t>French Polynesia</t>
  </si>
  <si>
    <t>French Southern Terr.</t>
  </si>
  <si>
    <t>Gabon</t>
  </si>
  <si>
    <t>Gambia, the</t>
  </si>
  <si>
    <t>Georgia</t>
  </si>
  <si>
    <t>Germany</t>
  </si>
  <si>
    <t>Ghana</t>
  </si>
  <si>
    <t>Gibraltar</t>
  </si>
  <si>
    <t>Greece</t>
  </si>
  <si>
    <t>Greenland</t>
  </si>
  <si>
    <t>Grenada</t>
  </si>
  <si>
    <t>Guadeloupe</t>
  </si>
  <si>
    <t>Guam</t>
  </si>
  <si>
    <t>Guatemala</t>
  </si>
  <si>
    <t>Guernsey and Alderney</t>
  </si>
  <si>
    <t>Guiana, French</t>
  </si>
  <si>
    <t>Guinea</t>
  </si>
  <si>
    <t>Guinea-Bissau</t>
  </si>
  <si>
    <t>Guinea, Equatorial</t>
  </si>
  <si>
    <t>Guyana</t>
  </si>
  <si>
    <t>Haiti</t>
  </si>
  <si>
    <t>Heard &amp; McDonald Is.</t>
  </si>
  <si>
    <t>Holy See (Vatican)</t>
  </si>
  <si>
    <t>Honduras</t>
  </si>
  <si>
    <t>Hong Kong, (China)</t>
  </si>
  <si>
    <t>Hungary</t>
  </si>
  <si>
    <t>Iceland</t>
  </si>
  <si>
    <t>India</t>
  </si>
  <si>
    <t>Indonesia</t>
  </si>
  <si>
    <t>Iran, Islamic Republic of</t>
  </si>
  <si>
    <t>Iraq</t>
  </si>
  <si>
    <t>Ireland</t>
  </si>
  <si>
    <t>Israel</t>
  </si>
  <si>
    <t>Italy</t>
  </si>
  <si>
    <t>Ivory Coast (Cote d'Ivoire)</t>
  </si>
  <si>
    <t>Jamaica</t>
  </si>
  <si>
    <t>Japan</t>
  </si>
  <si>
    <t>Jersey</t>
  </si>
  <si>
    <t>Jordan</t>
  </si>
  <si>
    <t>Kazakhstan</t>
  </si>
  <si>
    <t>Kenya</t>
  </si>
  <si>
    <t>Kiribati</t>
  </si>
  <si>
    <t>Korea Dem. People's Rep.</t>
  </si>
  <si>
    <t>Korea, (South) Republic of</t>
  </si>
  <si>
    <t>Kosovo</t>
  </si>
  <si>
    <t>Kuwait</t>
  </si>
  <si>
    <t>Kyrgyzstan</t>
  </si>
  <si>
    <t>Lao People's Dem. Rep.</t>
  </si>
  <si>
    <t>Latvia</t>
  </si>
  <si>
    <t>Lebanon</t>
  </si>
  <si>
    <t>Lesotho</t>
  </si>
  <si>
    <t>Liberia</t>
  </si>
  <si>
    <t>Libyan Arab Jamahiriya</t>
  </si>
  <si>
    <t>Liechtenstein</t>
  </si>
  <si>
    <t>Lithuania</t>
  </si>
  <si>
    <t>Luxembourg</t>
  </si>
  <si>
    <t>Macao, (China)</t>
  </si>
  <si>
    <t>Macedonia, TFYR</t>
  </si>
  <si>
    <t>Madagascar</t>
  </si>
  <si>
    <t>Malawi</t>
  </si>
  <si>
    <t>Malaysia</t>
  </si>
  <si>
    <t>Maldives</t>
  </si>
  <si>
    <t>Mali</t>
  </si>
  <si>
    <t>Malta</t>
  </si>
  <si>
    <t>Man, Isle of</t>
  </si>
  <si>
    <t>Marshall Islands</t>
  </si>
  <si>
    <t>Martinique (FR)</t>
  </si>
  <si>
    <t>Mauritania</t>
  </si>
  <si>
    <t>Mauritius</t>
  </si>
  <si>
    <t>Mayotte (FR)</t>
  </si>
  <si>
    <t>Mexico</t>
  </si>
  <si>
    <t>Micronesia, Fed. States of</t>
  </si>
  <si>
    <t>Middle East</t>
  </si>
  <si>
    <t>Moldova, Republic of</t>
  </si>
  <si>
    <t>Monaco</t>
  </si>
  <si>
    <t>Mongolia</t>
  </si>
  <si>
    <t>Montenegro</t>
  </si>
  <si>
    <t>Montserrat</t>
  </si>
  <si>
    <t>Morocco</t>
  </si>
  <si>
    <t>Mozambique</t>
  </si>
  <si>
    <t>Myanmar (ex-Burma)</t>
  </si>
  <si>
    <t>Namibia</t>
  </si>
  <si>
    <t>Nauru</t>
  </si>
  <si>
    <t>Nepal</t>
  </si>
  <si>
    <t>Netherlands</t>
  </si>
  <si>
    <t>Netherlands Antilles</t>
  </si>
  <si>
    <t>New Caledonia</t>
  </si>
  <si>
    <t>New Zealand</t>
  </si>
  <si>
    <t>Nicaragua</t>
  </si>
  <si>
    <t>Niger</t>
  </si>
  <si>
    <t>Nigeria</t>
  </si>
  <si>
    <t>Niue</t>
  </si>
  <si>
    <t>Norfolk Island</t>
  </si>
  <si>
    <t>North America</t>
  </si>
  <si>
    <t>Northern Mariana Islands</t>
  </si>
  <si>
    <t>Norway</t>
  </si>
  <si>
    <t>Oceania</t>
  </si>
  <si>
    <t>Oman</t>
  </si>
  <si>
    <t>Pakistan</t>
  </si>
  <si>
    <t>Palau</t>
  </si>
  <si>
    <t>Palestinian Territory</t>
  </si>
  <si>
    <t>Panama</t>
  </si>
  <si>
    <t>Papua New Guinea</t>
  </si>
  <si>
    <t>Paraguay</t>
  </si>
  <si>
    <t>Peru</t>
  </si>
  <si>
    <t>Philippines</t>
  </si>
  <si>
    <t>Pitcairn Island</t>
  </si>
  <si>
    <t>Poland</t>
  </si>
  <si>
    <t>Portugal</t>
  </si>
  <si>
    <t>Puerto Rico</t>
  </si>
  <si>
    <t>Qatar</t>
  </si>
  <si>
    <t>Reunion (FR)</t>
  </si>
  <si>
    <t>Romania</t>
  </si>
  <si>
    <t>Russia (Russian Fed.)</t>
  </si>
  <si>
    <t>Rwanda</t>
  </si>
  <si>
    <t>Sahara, Western</t>
  </si>
  <si>
    <t>Saint Barthelemy (FR)</t>
  </si>
  <si>
    <t>Saint Helena (UK)</t>
  </si>
  <si>
    <t>Saint Kitts and Nevis</t>
  </si>
  <si>
    <t>Saint Lucia</t>
  </si>
  <si>
    <t>Saint Martin (FR)</t>
  </si>
  <si>
    <t>S Pierre &amp; Miquelon(FR)</t>
  </si>
  <si>
    <t>S Vincent &amp;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</si>
  <si>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</si>
  <si>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</si>
  <si>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</si>
  <si>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</si>
  <si>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</si>
  <si>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</si>
  <si>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</si>
  <si>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</si>
  <si>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</si>
  <si>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</si>
  <si>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</si>
  <si>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</si>
  <si>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</si>
  <si>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</si>
  <si>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America</t>
  </si>
  <si>
    <t>S.George &amp; S.Sandwich</t>
  </si>
  <si>
    <t>South Sudan</t>
  </si>
  <si>
    <t>Spain</t>
  </si>
  <si>
    <t>Sri Lanka (ex-Ceilan)</t>
  </si>
  <si>
    <t>Sudan</t>
  </si>
  <si>
    <t>Suriname</t>
  </si>
  <si>
    <t>Svalbard &amp; Jan Mayen Is.</t>
  </si>
  <si>
    <t>Swaziland</t>
  </si>
  <si>
    <t>Sweden</t>
  </si>
  <si>
    <t>Switzerland</t>
  </si>
  <si>
    <t>Syrian Arab Republic</t>
  </si>
  <si>
    <t>Taiwan</t>
  </si>
  <si>
    <t>Tajikistan</t>
  </si>
  <si>
    <t>Tanzania, United Rep. of</t>
  </si>
  <si>
    <t>Thailand</t>
  </si>
  <si>
    <t>Timor-Leste (East Timor)</t>
  </si>
  <si>
    <t>Togo</t>
  </si>
  <si>
    <t>Tokelau</t>
  </si>
  <si>
    <t>Tonga</t>
  </si>
  <si>
    <t>Trinidad &amp; Tobago</t>
  </si>
  <si>
    <t>Tunisia</t>
  </si>
  <si>
    <t>Turkey</t>
  </si>
  <si>
    <t>Turkmenistan</t>
  </si>
  <si>
    <t>Turks and Caicos Is.</t>
  </si>
  <si>
    <t>Tuvalu</t>
  </si>
  <si>
    <t>Uganda</t>
  </si>
  <si>
    <t>Ukraine</t>
  </si>
  <si>
    <t>United Arab Emirates</t>
  </si>
  <si>
    <t>United Kingdom</t>
  </si>
  <si>
    <t>United States</t>
  </si>
  <si>
    <t>US Minor Outlying Isl.</t>
  </si>
  <si>
    <t>Uruguay</t>
  </si>
  <si>
    <t>Uzbekistan</t>
  </si>
  <si>
    <t>Vanuatu</t>
  </si>
  <si>
    <t>Vatican (Holy See)</t>
  </si>
  <si>
    <t>Venezuela</t>
  </si>
  <si>
    <t>Viet Nam</t>
  </si>
  <si>
    <t>Virgin Islands, British</t>
  </si>
  <si>
    <t>Virgin Islands, U.S.</t>
  </si>
  <si>
    <t>Wallis and Futuna</t>
  </si>
  <si>
    <t>Western Sahara</t>
  </si>
  <si>
    <t>Yemen</t>
  </si>
  <si>
    <t>Zambia</t>
  </si>
  <si>
    <t>Zimbabwe</t>
  </si>
  <si>
    <t>DATE PREPARED:</t>
  </si>
  <si>
    <r>
      <t>OTHER IMPORTANT INFORMATION
(</t>
    </r>
    <r>
      <rPr>
        <sz val="11"/>
        <color theme="1"/>
        <rFont val="Calibri"/>
        <family val="2"/>
        <scheme val="minor"/>
      </rPr>
      <t>please include in REMARKS</t>
    </r>
    <r>
      <rPr>
        <b/>
        <sz val="11"/>
        <color theme="1"/>
        <rFont val="Calibri"/>
        <family val="2"/>
        <scheme val="minor"/>
      </rPr>
      <t>)</t>
    </r>
  </si>
  <si>
    <t>Please describe the surveillance systems briefly</t>
  </si>
  <si>
    <t>COMPONENTS</t>
  </si>
  <si>
    <t>ACCOMPLISHED ACTIVITIES</t>
  </si>
  <si>
    <t>PENDING ACTIVITIES</t>
  </si>
  <si>
    <t>(You may select your country's name from the drop-down list)</t>
  </si>
  <si>
    <t>Pending</t>
  </si>
  <si>
    <t>Sectors involved</t>
  </si>
  <si>
    <t>Agencies of trained professionals</t>
  </si>
  <si>
    <t>Number and location of facilities</t>
  </si>
  <si>
    <t>Percentage of facilities which comply with international animal welfare regulations</t>
  </si>
  <si>
    <t>Institutions of members of task force</t>
  </si>
  <si>
    <t>Timely supply of and access to quality human biologics are assured throughout the country (e.g. Pre- and Post- Exposure Prophylaxis available to high risk and exposed individuals throughout the country)</t>
  </si>
  <si>
    <t>Prof. A.B. Ogunkoya</t>
  </si>
  <si>
    <t xml:space="preserve">Chairperson Riwa International, Teachniocal Adviser to the Federal Ministry of Health on Rabies and related Zoonotic deseases </t>
  </si>
  <si>
    <t>College of Veterinary Medicine, Dept. of Surgery and Medicine Federal university of Abeokuta, Ogun State.</t>
  </si>
  <si>
    <t xml:space="preserve"> Ministries of Health and Agriculture and other related establishment, e.g. Health and Veterinary health centers in the local area</t>
  </si>
  <si>
    <t>Ministries of Health and Agriculture and other related establishment, e.g. Health and Veterinary health centers in the local area</t>
  </si>
  <si>
    <t>Ministries of Health in every statre of Nigeria and most public health centers</t>
  </si>
  <si>
    <t xml:space="preserve"> Proper review has not been done and intersectorial activities are rather poorly in place</t>
  </si>
  <si>
    <t xml:space="preserve">The law did not mestion rabies only dog bites. The legistletive chapter 55 of the law of Nigeria and Lagos (1958) duel excusively with dogs licencing and permision to qurantine dog without licence and destruction  of these dogs if they show sign of hillness during the guaranty period the law there is no legal framework and definition of rabies the 1958 legislation as not been review since then and there is no on going process to modify the old law.      </t>
  </si>
  <si>
    <t>But, hardly praticed</t>
  </si>
  <si>
    <t xml:space="preserve"> Reporting system is contained in the general order (G.O) through which a ministry is run. The order is, the field officers on the local government levels, reports and rabies outbreak to the immediate superior who report the senior veterinary officers and from there to the state chief veterinary officers who is suppose to report to the federal government authority and the ministry of health. Of today, the above stopped being practice creating a vaccum in data collection in the country.</t>
  </si>
  <si>
    <t>Name of institute National Veterinary Research Institute (NVRI) VOM</t>
  </si>
  <si>
    <t>Name of institute        NVRI</t>
  </si>
  <si>
    <t>Names of institutes      NVRI</t>
  </si>
  <si>
    <t>Names of institutes        NO</t>
  </si>
  <si>
    <t>Name of institute where molecular tests are being performed    Centre for Ddisease Control, (CDC), Atlanta, Georgia, USA.</t>
  </si>
  <si>
    <t>The minimum number of suspect rabid animal specimens to be tested set by the national government   No minimum Nor maximum NVRI. Processed the numbers that arrived in the laboratory in good condition</t>
  </si>
  <si>
    <t>Refrences are made to the international laboratories sparringly by the established ministries responsible for rabies outbreaks but the university post-graduate students working on rabies for masters and PHD commonly transport the viruses to various laboratory outside the country for confirmation or mollecular characterization.</t>
  </si>
  <si>
    <t xml:space="preserve">A reporting and feedback mechanism between all stakeholders (both local and national, human and animal health offices) has been established </t>
  </si>
  <si>
    <t>Not Functional</t>
  </si>
  <si>
    <t>By universities post-graduate students</t>
  </si>
  <si>
    <t>Dog owners and mostly in urban set ups</t>
  </si>
  <si>
    <t>The message is on vaccination of dogs only</t>
  </si>
  <si>
    <t>Dogs owners</t>
  </si>
  <si>
    <t>Occasionally</t>
  </si>
  <si>
    <t>When it becomes unavoidable on the face of serious rabies outbreak. The occasion is sporadic and limited</t>
  </si>
  <si>
    <t>This is limited to a very small area during outbreaks or rabies day</t>
  </si>
  <si>
    <t>Only during a serious outbreaks or during the yearly world rabies day</t>
  </si>
  <si>
    <t>On most occasions, messages are being directed to those who can read and write and basically in urban area, it is through the radio network and sometimes television and only those who have facilities will benefit from the exercise</t>
  </si>
  <si>
    <t xml:space="preserve">Frequency and participants      </t>
  </si>
  <si>
    <t>This is rather in frequent and hardly happen except organize by international bodies or NGO's</t>
  </si>
  <si>
    <t>No, there is hardly rabies continous education, training and re-training in Nigeria. Sparringly, NVRI and Universities engage in these</t>
  </si>
  <si>
    <t>On few are mported into the country and are made expensive and unaffordable by the majority.</t>
  </si>
  <si>
    <t>Evert hospitals and health care facilities do treat (both private and government)</t>
  </si>
  <si>
    <t>No, they are not freely available on most occasion they expose and their families have to source for vaccines and other biologicals are just not available in the country</t>
  </si>
  <si>
    <t>It is difficult to know for there is nobody monitoring this</t>
  </si>
  <si>
    <t>Most hospitals and health centres don't stock these biological for post exposure treatment</t>
  </si>
  <si>
    <t>No, there is no ministries so far working on this. Neither ministry of health nor Agric.</t>
  </si>
  <si>
    <t>No</t>
  </si>
  <si>
    <t>NVRI Produces about 10% of the needed vaccines for the country and few in addition are imported by individuals</t>
  </si>
  <si>
    <t>NVRI Produces avianized life vaccines.(HEP for Cat, LEP for Dog) and this is not quality vaccines based on OIE Standard</t>
  </si>
  <si>
    <t>Not regularly, not all outbreak are reported and those reported are not treated equally.</t>
  </si>
  <si>
    <t>Dog population is unknown. The present practice may not cover 10-15%</t>
  </si>
  <si>
    <t>No, Dog vaccination campaigns are never maintain in practice. The campaign stop until another outbreak occurs</t>
  </si>
  <si>
    <t>Not always, only when financial and official support makes it possible.</t>
  </si>
  <si>
    <t>This has been done by universities under graduate on post graduate project and the result is kept within the university or published in journals.</t>
  </si>
  <si>
    <t>No, it can happen occasionally but not in common use and practice</t>
  </si>
  <si>
    <t>Yes, it is available</t>
  </si>
  <si>
    <t>Yes, but not quite sufficient</t>
  </si>
  <si>
    <t>Most previously existing facilities have broken down</t>
  </si>
  <si>
    <t>Only Ahmadu Bello University and NVRI Jos have relatively good facilities and not of the world standard</t>
  </si>
  <si>
    <t>Not sure, no rabies free zone in Nigeria</t>
  </si>
  <si>
    <t>By univerity post graduate students</t>
  </si>
  <si>
    <t>This point is hardly stressed</t>
  </si>
  <si>
    <t>Ministries of Agriculture, health and university researchers</t>
  </si>
  <si>
    <t>Not done routingly</t>
  </si>
  <si>
    <t>No, there is no standby task force</t>
  </si>
  <si>
    <t>Some are in place but not regularly implemented</t>
  </si>
  <si>
    <t>Not quite explicit, the private sectors always think it is governmental affairs</t>
  </si>
  <si>
    <t>No, not in existence</t>
  </si>
  <si>
    <t>No, there is always confusion at this point</t>
  </si>
  <si>
    <t>No, the body to draft it is not in existence</t>
  </si>
  <si>
    <t>No, government has never budgeted for rabies control and eradication</t>
  </si>
  <si>
    <t>No, if any evaluation has been done at all, it is just have been for academic reason by a post graduate student</t>
  </si>
  <si>
    <t>No, wild life studies in Nigeria has been limited to post graduate research project</t>
  </si>
  <si>
    <t>No, only partially implemented only at the airport, the borders are porous</t>
  </si>
  <si>
    <t xml:space="preserve"> </t>
  </si>
</sst>
</file>

<file path=xl/styles.xml><?xml version="1.0" encoding="utf-8"?>
<styleSheet xmlns="http://schemas.openxmlformats.org/spreadsheetml/2006/main">
  <numFmts count="2">
    <numFmt numFmtId="43" formatCode="_(* #,##0.00_);_(* \(#,##0.00\);_(* &quot;-&quot;??_);_(@_)"/>
    <numFmt numFmtId="164" formatCode="[$-3409]dd\ mmmm\,\ yyyy;@"/>
  </numFmts>
  <fonts count="23">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sz val="11"/>
      <name val="Calibri"/>
      <family val="2"/>
      <scheme val="minor"/>
    </font>
    <font>
      <u/>
      <sz val="11"/>
      <color theme="1"/>
      <name val="Calibri"/>
      <family val="2"/>
      <scheme val="minor"/>
    </font>
    <font>
      <i/>
      <sz val="9"/>
      <color theme="1"/>
      <name val="Calibri"/>
      <family val="2"/>
      <scheme val="minor"/>
    </font>
    <font>
      <u/>
      <sz val="11"/>
      <name val="Calibri"/>
      <family val="2"/>
      <scheme val="minor"/>
    </font>
    <font>
      <sz val="11"/>
      <color theme="1"/>
      <name val="Calibri"/>
      <family val="2"/>
    </font>
    <font>
      <b/>
      <u/>
      <sz val="12"/>
      <color theme="1"/>
      <name val="Calibri"/>
      <family val="2"/>
      <scheme val="minor"/>
    </font>
    <font>
      <b/>
      <sz val="11"/>
      <color theme="0"/>
      <name val="Calibri"/>
      <family val="2"/>
      <scheme val="minor"/>
    </font>
    <font>
      <sz val="10"/>
      <color theme="1"/>
      <name val="Calibri"/>
      <family val="2"/>
      <scheme val="minor"/>
    </font>
    <font>
      <sz val="10"/>
      <color rgb="FF000000"/>
      <name val="Calibri"/>
      <family val="2"/>
      <scheme val="minor"/>
    </font>
    <font>
      <sz val="10"/>
      <color theme="0"/>
      <name val="Calibri"/>
      <family val="2"/>
      <scheme val="minor"/>
    </font>
    <font>
      <sz val="11"/>
      <color theme="0"/>
      <name val="Calibri"/>
      <family val="2"/>
      <scheme val="minor"/>
    </font>
    <font>
      <b/>
      <sz val="10"/>
      <color theme="1"/>
      <name val="Calibri"/>
      <family val="2"/>
      <scheme val="minor"/>
    </font>
    <font>
      <b/>
      <sz val="10"/>
      <color theme="0"/>
      <name val="Calibri"/>
      <family val="2"/>
      <scheme val="minor"/>
    </font>
    <font>
      <b/>
      <sz val="11"/>
      <color theme="0" tint="-0.34998626667073579"/>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s>
  <cellStyleXfs count="2">
    <xf numFmtId="0" fontId="0" fillId="0" borderId="0"/>
    <xf numFmtId="43" fontId="1" fillId="0" borderId="0" applyFont="0" applyFill="0" applyBorder="0" applyAlignment="0" applyProtection="0"/>
  </cellStyleXfs>
  <cellXfs count="207">
    <xf numFmtId="0" fontId="0" fillId="0" borderId="0" xfId="0"/>
    <xf numFmtId="0" fontId="3" fillId="0" borderId="0" xfId="0" applyFont="1" applyAlignment="1">
      <alignment horizontal="center" vertical="center"/>
    </xf>
    <xf numFmtId="0" fontId="4" fillId="0" borderId="0" xfId="0" applyFont="1"/>
    <xf numFmtId="0" fontId="5" fillId="0" borderId="0" xfId="0" applyFont="1" applyFill="1" applyAlignment="1">
      <alignment horizontal="left" vertical="top" wrapText="1"/>
    </xf>
    <xf numFmtId="0" fontId="0" fillId="0" borderId="0" xfId="0" applyAlignment="1">
      <alignment horizontal="center" vertical="top"/>
    </xf>
    <xf numFmtId="0" fontId="0" fillId="0" borderId="0" xfId="0" applyAlignment="1">
      <alignment wrapText="1"/>
    </xf>
    <xf numFmtId="0" fontId="6" fillId="0" borderId="0" xfId="0" applyFont="1"/>
    <xf numFmtId="0" fontId="6" fillId="0" borderId="0" xfId="0" applyFont="1" applyAlignment="1">
      <alignment wrapText="1"/>
    </xf>
    <xf numFmtId="0" fontId="5" fillId="0" borderId="0" xfId="0" applyFont="1"/>
    <xf numFmtId="0" fontId="0" fillId="0" borderId="0" xfId="0" applyAlignment="1">
      <alignment horizontal="left" vertical="top" wrapText="1"/>
    </xf>
    <xf numFmtId="0" fontId="0" fillId="0" borderId="0" xfId="0" applyBorder="1" applyAlignment="1">
      <alignment horizontal="left" vertical="top" wrapText="1"/>
    </xf>
    <xf numFmtId="0" fontId="3" fillId="0" borderId="0" xfId="0" applyFont="1"/>
    <xf numFmtId="0" fontId="5" fillId="0" borderId="0" xfId="0" applyFont="1" applyAlignment="1">
      <alignment wrapText="1"/>
    </xf>
    <xf numFmtId="0" fontId="5" fillId="0" borderId="0" xfId="0" applyFont="1" applyAlignment="1">
      <alignment horizontal="center" vertical="top"/>
    </xf>
    <xf numFmtId="0" fontId="10" fillId="0" borderId="0" xfId="0" applyFont="1" applyAlignment="1">
      <alignment horizontal="left" vertical="top"/>
    </xf>
    <xf numFmtId="0" fontId="0" fillId="0" borderId="0" xfId="0" applyAlignment="1">
      <alignment horizontal="center" vertical="center" wrapText="1"/>
    </xf>
    <xf numFmtId="0" fontId="3" fillId="0" borderId="0" xfId="0" applyFont="1" applyAlignment="1">
      <alignment horizontal="left" vertical="center"/>
    </xf>
    <xf numFmtId="0" fontId="0" fillId="0" borderId="0" xfId="0" applyAlignment="1">
      <alignment horizontal="left" vertical="top"/>
    </xf>
    <xf numFmtId="0" fontId="0" fillId="0" borderId="2" xfId="0" applyBorder="1" applyAlignment="1">
      <alignment horizontal="left" vertical="top"/>
    </xf>
    <xf numFmtId="0" fontId="0" fillId="0" borderId="3" xfId="0" applyBorder="1" applyAlignment="1">
      <alignment horizontal="left" vertical="top" wrapText="1"/>
    </xf>
    <xf numFmtId="0" fontId="0" fillId="0" borderId="5"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wrapText="1"/>
    </xf>
    <xf numFmtId="0" fontId="0" fillId="0" borderId="4" xfId="0" applyBorder="1" applyAlignment="1">
      <alignment horizontal="left" vertical="top" wrapText="1"/>
    </xf>
    <xf numFmtId="0" fontId="0" fillId="0" borderId="6" xfId="0" applyBorder="1" applyAlignment="1">
      <alignment horizontal="left" vertical="top" wrapText="1"/>
    </xf>
    <xf numFmtId="0" fontId="0" fillId="0" borderId="9" xfId="0" applyBorder="1" applyAlignment="1">
      <alignment horizontal="left" vertical="top" wrapText="1"/>
    </xf>
    <xf numFmtId="0" fontId="5" fillId="0" borderId="6" xfId="0" applyFont="1" applyFill="1" applyBorder="1" applyAlignment="1">
      <alignment horizontal="left" vertical="top" wrapText="1"/>
    </xf>
    <xf numFmtId="0" fontId="0" fillId="0" borderId="13" xfId="0" applyBorder="1" applyAlignment="1">
      <alignment horizontal="left" vertical="top"/>
    </xf>
    <xf numFmtId="0" fontId="0" fillId="0" borderId="14" xfId="0" applyBorder="1" applyAlignment="1">
      <alignment horizontal="left" vertical="top"/>
    </xf>
    <xf numFmtId="0" fontId="0" fillId="0" borderId="15" xfId="0" applyBorder="1" applyAlignment="1">
      <alignment horizontal="left" vertical="top"/>
    </xf>
    <xf numFmtId="0" fontId="0" fillId="0" borderId="2" xfId="0" applyBorder="1" applyAlignment="1">
      <alignment horizontal="center" vertical="top"/>
    </xf>
    <xf numFmtId="0" fontId="0" fillId="0" borderId="5" xfId="0" applyBorder="1" applyAlignment="1">
      <alignment horizontal="center" vertical="top"/>
    </xf>
    <xf numFmtId="0" fontId="0" fillId="0" borderId="7" xfId="0" applyBorder="1" applyAlignment="1">
      <alignment horizontal="center" vertical="top"/>
    </xf>
    <xf numFmtId="0" fontId="0" fillId="0" borderId="4" xfId="0" applyFont="1" applyBorder="1" applyAlignment="1">
      <alignment horizontal="left" vertical="top" wrapText="1"/>
    </xf>
    <xf numFmtId="0" fontId="0" fillId="0" borderId="6" xfId="0" applyFont="1" applyBorder="1" applyAlignment="1">
      <alignment horizontal="left" vertical="top" wrapText="1"/>
    </xf>
    <xf numFmtId="0" fontId="0" fillId="0" borderId="6" xfId="0" applyFont="1" applyFill="1" applyBorder="1" applyAlignment="1">
      <alignment horizontal="left" vertical="top" wrapText="1"/>
    </xf>
    <xf numFmtId="0" fontId="0" fillId="0" borderId="9" xfId="0" applyFont="1" applyBorder="1" applyAlignment="1">
      <alignment horizontal="left" vertical="top" wrapText="1"/>
    </xf>
    <xf numFmtId="0" fontId="0" fillId="0" borderId="0" xfId="0" applyBorder="1" applyAlignment="1">
      <alignment horizontal="center" vertical="center" wrapText="1"/>
    </xf>
    <xf numFmtId="0" fontId="5" fillId="0" borderId="14" xfId="0" applyFont="1"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5" fillId="0" borderId="6" xfId="0" applyFont="1" applyBorder="1" applyAlignment="1">
      <alignment horizontal="left" vertical="top" wrapText="1"/>
    </xf>
    <xf numFmtId="0" fontId="5" fillId="0" borderId="4" xfId="0" applyFont="1" applyBorder="1" applyAlignment="1">
      <alignment horizontal="left" vertical="top" wrapText="1"/>
    </xf>
    <xf numFmtId="0" fontId="5" fillId="0" borderId="9" xfId="0" applyFont="1" applyBorder="1" applyAlignment="1">
      <alignment horizontal="left" vertical="top" wrapText="1"/>
    </xf>
    <xf numFmtId="0" fontId="0" fillId="0" borderId="13" xfId="0" applyBorder="1" applyAlignment="1">
      <alignment horizontal="left" vertical="top" wrapText="1"/>
    </xf>
    <xf numFmtId="0" fontId="0" fillId="0" borderId="14" xfId="0" applyFill="1" applyBorder="1" applyAlignment="1">
      <alignment horizontal="left" vertical="top" wrapText="1"/>
    </xf>
    <xf numFmtId="43" fontId="0" fillId="0" borderId="14" xfId="1" applyFont="1" applyBorder="1" applyAlignment="1">
      <alignment horizontal="left" vertical="top"/>
    </xf>
    <xf numFmtId="0" fontId="2" fillId="0" borderId="14" xfId="0" applyFont="1" applyFill="1" applyBorder="1" applyAlignment="1">
      <alignment horizontal="left" vertical="top" wrapText="1"/>
    </xf>
    <xf numFmtId="0" fontId="5" fillId="0" borderId="15" xfId="0" applyFont="1" applyFill="1" applyBorder="1" applyAlignment="1">
      <alignment horizontal="left" vertical="top" wrapText="1"/>
    </xf>
    <xf numFmtId="0" fontId="0" fillId="0" borderId="15" xfId="0" applyFill="1" applyBorder="1" applyAlignment="1">
      <alignment horizontal="left" vertical="top" wrapText="1"/>
    </xf>
    <xf numFmtId="0" fontId="12" fillId="0" borderId="4" xfId="0" applyFont="1" applyBorder="1" applyAlignment="1">
      <alignment vertical="top" wrapText="1"/>
    </xf>
    <xf numFmtId="0" fontId="12" fillId="0" borderId="3" xfId="0" applyFont="1" applyBorder="1" applyAlignment="1">
      <alignment vertical="top" wrapText="1"/>
    </xf>
    <xf numFmtId="0" fontId="12" fillId="0" borderId="0" xfId="0" applyFont="1" applyAlignment="1">
      <alignment vertical="top" wrapText="1"/>
    </xf>
    <xf numFmtId="0" fontId="12" fillId="0" borderId="6" xfId="0" applyFont="1" applyBorder="1" applyAlignment="1">
      <alignment vertical="top" wrapText="1"/>
    </xf>
    <xf numFmtId="0" fontId="12" fillId="0" borderId="0" xfId="0" applyFont="1" applyBorder="1" applyAlignment="1">
      <alignment vertical="top" wrapText="1"/>
    </xf>
    <xf numFmtId="0" fontId="12" fillId="0" borderId="9" xfId="0" applyFont="1" applyBorder="1" applyAlignment="1">
      <alignment vertical="top" wrapText="1"/>
    </xf>
    <xf numFmtId="0" fontId="12" fillId="0" borderId="8" xfId="0" applyFont="1" applyBorder="1" applyAlignment="1">
      <alignment vertical="top" wrapText="1"/>
    </xf>
    <xf numFmtId="0" fontId="12" fillId="0" borderId="13" xfId="0" applyFont="1" applyBorder="1" applyAlignment="1">
      <alignment vertical="top" wrapText="1"/>
    </xf>
    <xf numFmtId="0" fontId="12" fillId="0" borderId="14" xfId="0" applyFont="1" applyBorder="1" applyAlignment="1">
      <alignment vertical="top" wrapText="1"/>
    </xf>
    <xf numFmtId="0" fontId="12" fillId="0" borderId="15" xfId="0" applyFont="1" applyBorder="1" applyAlignment="1">
      <alignment vertical="top" wrapText="1"/>
    </xf>
    <xf numFmtId="0" fontId="14" fillId="0" borderId="14" xfId="0" applyFont="1" applyBorder="1" applyAlignment="1">
      <alignment vertical="top" wrapText="1"/>
    </xf>
    <xf numFmtId="0" fontId="15" fillId="0" borderId="0" xfId="0" applyFont="1" applyAlignment="1">
      <alignment horizontal="center" vertical="center" wrapText="1"/>
    </xf>
    <xf numFmtId="0" fontId="14" fillId="0" borderId="3" xfId="0" applyFont="1" applyBorder="1" applyAlignment="1">
      <alignment vertical="top" wrapText="1"/>
    </xf>
    <xf numFmtId="0" fontId="14" fillId="0" borderId="0" xfId="0" applyFont="1" applyBorder="1" applyAlignment="1">
      <alignment vertical="top" wrapText="1"/>
    </xf>
    <xf numFmtId="0" fontId="14" fillId="0" borderId="8" xfId="0" applyFont="1" applyBorder="1" applyAlignment="1">
      <alignment vertical="top" wrapText="1"/>
    </xf>
    <xf numFmtId="0" fontId="14" fillId="0" borderId="13" xfId="0" applyFont="1" applyBorder="1" applyAlignment="1">
      <alignment vertical="top" wrapText="1"/>
    </xf>
    <xf numFmtId="0" fontId="14" fillId="0" borderId="15" xfId="0" applyFont="1" applyBorder="1" applyAlignment="1">
      <alignment vertical="top" wrapText="1"/>
    </xf>
    <xf numFmtId="0" fontId="5" fillId="0" borderId="5" xfId="0" applyFont="1" applyBorder="1" applyAlignment="1">
      <alignment horizontal="center" vertical="top"/>
    </xf>
    <xf numFmtId="0" fontId="5" fillId="0" borderId="5" xfId="0" applyFont="1" applyFill="1" applyBorder="1" applyAlignment="1">
      <alignment horizontal="center" vertical="top" wrapText="1"/>
    </xf>
    <xf numFmtId="0" fontId="5" fillId="0" borderId="5" xfId="0" applyFont="1" applyFill="1" applyBorder="1" applyAlignment="1">
      <alignment horizontal="center" vertical="top"/>
    </xf>
    <xf numFmtId="0" fontId="5" fillId="0" borderId="7" xfId="0" applyFont="1" applyBorder="1" applyAlignment="1">
      <alignment horizontal="center" vertical="top"/>
    </xf>
    <xf numFmtId="0" fontId="5" fillId="0" borderId="2" xfId="0" applyFont="1" applyFill="1" applyBorder="1" applyAlignment="1">
      <alignment horizontal="center" vertical="top" wrapText="1"/>
    </xf>
    <xf numFmtId="0" fontId="5" fillId="0" borderId="7" xfId="0" applyFont="1" applyFill="1" applyBorder="1" applyAlignment="1">
      <alignment horizontal="center" vertical="top" wrapText="1"/>
    </xf>
    <xf numFmtId="0" fontId="5" fillId="0" borderId="6" xfId="0" applyFont="1" applyBorder="1" applyAlignment="1">
      <alignment wrapText="1"/>
    </xf>
    <xf numFmtId="0" fontId="0" fillId="0" borderId="6" xfId="0" applyFill="1" applyBorder="1" applyAlignment="1">
      <alignment horizontal="left" vertical="top" wrapText="1"/>
    </xf>
    <xf numFmtId="0" fontId="0" fillId="0" borderId="0" xfId="0" applyAlignment="1">
      <alignment vertical="top" wrapText="1"/>
    </xf>
    <xf numFmtId="0" fontId="5" fillId="0" borderId="0" xfId="0" applyFont="1" applyAlignment="1">
      <alignment vertical="top" wrapText="1"/>
    </xf>
    <xf numFmtId="0" fontId="8" fillId="0" borderId="2" xfId="0" applyFont="1" applyBorder="1" applyAlignment="1">
      <alignment vertical="top" wrapText="1"/>
    </xf>
    <xf numFmtId="0" fontId="9" fillId="0" borderId="4" xfId="0" applyFont="1" applyBorder="1" applyAlignment="1">
      <alignment vertical="center" wrapText="1"/>
    </xf>
    <xf numFmtId="0" fontId="0" fillId="0" borderId="0" xfId="0" applyBorder="1"/>
    <xf numFmtId="0" fontId="0" fillId="0" borderId="8" xfId="0" applyBorder="1"/>
    <xf numFmtId="0" fontId="6" fillId="0" borderId="5" xfId="0" applyFont="1" applyBorder="1"/>
    <xf numFmtId="0" fontId="0" fillId="0" borderId="5" xfId="0" applyBorder="1"/>
    <xf numFmtId="0" fontId="0" fillId="0" borderId="7" xfId="0" applyBorder="1"/>
    <xf numFmtId="0" fontId="0" fillId="0" borderId="3" xfId="0" applyBorder="1"/>
    <xf numFmtId="0" fontId="0" fillId="0" borderId="0" xfId="0" applyFill="1" applyBorder="1" applyAlignment="1">
      <alignment horizontal="left" vertical="top"/>
    </xf>
    <xf numFmtId="0" fontId="0" fillId="0" borderId="3" xfId="0" applyFill="1" applyBorder="1" applyAlignment="1">
      <alignment horizontal="left" vertical="top"/>
    </xf>
    <xf numFmtId="0" fontId="12" fillId="0" borderId="18" xfId="0" applyFont="1" applyBorder="1" applyAlignment="1">
      <alignment vertical="top" wrapText="1"/>
    </xf>
    <xf numFmtId="0" fontId="12" fillId="0" borderId="16" xfId="0" applyFont="1" applyBorder="1" applyAlignment="1">
      <alignment vertical="top" wrapText="1"/>
    </xf>
    <xf numFmtId="0" fontId="12" fillId="0" borderId="20" xfId="0" applyFont="1" applyBorder="1" applyAlignment="1">
      <alignment vertical="top" wrapText="1"/>
    </xf>
    <xf numFmtId="0" fontId="11" fillId="2" borderId="1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20"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6" fillId="2" borderId="15" xfId="0" applyFont="1" applyFill="1" applyBorder="1" applyAlignment="1">
      <alignment horizontal="center" vertical="center" wrapText="1"/>
    </xf>
    <xf numFmtId="0" fontId="0" fillId="0" borderId="0" xfId="0" applyBorder="1" applyAlignment="1">
      <alignment vertical="top"/>
    </xf>
    <xf numFmtId="0" fontId="0" fillId="0" borderId="3" xfId="0" applyBorder="1" applyAlignment="1">
      <alignment vertical="top"/>
    </xf>
    <xf numFmtId="0" fontId="0" fillId="0" borderId="8" xfId="0" applyBorder="1" applyAlignment="1">
      <alignment vertical="top"/>
    </xf>
    <xf numFmtId="0" fontId="3" fillId="3" borderId="10" xfId="0" applyFont="1" applyFill="1" applyBorder="1" applyAlignment="1">
      <alignment horizontal="center" vertical="center"/>
    </xf>
    <xf numFmtId="0" fontId="3" fillId="3" borderId="11" xfId="0" applyFont="1" applyFill="1" applyBorder="1" applyAlignment="1">
      <alignment vertical="center"/>
    </xf>
    <xf numFmtId="0" fontId="3" fillId="3" borderId="1" xfId="0" applyFont="1" applyFill="1" applyBorder="1" applyAlignment="1">
      <alignment horizontal="center" vertical="center"/>
    </xf>
    <xf numFmtId="0" fontId="3" fillId="3" borderId="12" xfId="0" applyFont="1" applyFill="1" applyBorder="1" applyAlignment="1">
      <alignment horizontal="center" vertical="center"/>
    </xf>
    <xf numFmtId="0" fontId="18" fillId="3" borderId="10" xfId="0" applyFont="1" applyFill="1" applyBorder="1" applyAlignment="1">
      <alignment vertical="center"/>
    </xf>
    <xf numFmtId="0" fontId="18" fillId="3" borderId="10" xfId="0" applyFont="1" applyFill="1" applyBorder="1" applyAlignment="1">
      <alignment vertical="center" wrapText="1"/>
    </xf>
    <xf numFmtId="0" fontId="3" fillId="3" borderId="12" xfId="0" applyFont="1" applyFill="1" applyBorder="1" applyAlignment="1">
      <alignment vertical="center"/>
    </xf>
    <xf numFmtId="0" fontId="18" fillId="3" borderId="10" xfId="0" applyFont="1" applyFill="1" applyBorder="1" applyAlignment="1">
      <alignment vertical="top" wrapText="1"/>
    </xf>
    <xf numFmtId="0" fontId="20" fillId="0" borderId="0" xfId="0" applyFont="1" applyAlignment="1">
      <alignment vertical="top"/>
    </xf>
    <xf numFmtId="0" fontId="20" fillId="0" borderId="0" xfId="0" applyFont="1" applyAlignment="1">
      <alignment horizontal="left" vertical="center"/>
    </xf>
    <xf numFmtId="0" fontId="0" fillId="0" borderId="0" xfId="0" applyAlignment="1">
      <alignment vertical="center"/>
    </xf>
    <xf numFmtId="0" fontId="0" fillId="0" borderId="0" xfId="0" applyAlignment="1"/>
    <xf numFmtId="0" fontId="0" fillId="0" borderId="3" xfId="0" applyBorder="1" applyAlignment="1"/>
    <xf numFmtId="0" fontId="0" fillId="4" borderId="14" xfId="0" applyFill="1" applyBorder="1" applyAlignment="1" applyProtection="1">
      <alignment horizontal="center" vertical="center"/>
      <protection locked="0"/>
    </xf>
    <xf numFmtId="0" fontId="0" fillId="4" borderId="6" xfId="0" applyFill="1" applyBorder="1" applyProtection="1">
      <protection locked="0"/>
    </xf>
    <xf numFmtId="0" fontId="0" fillId="4" borderId="13" xfId="0" applyFill="1" applyBorder="1" applyAlignment="1" applyProtection="1">
      <alignment horizontal="center" vertical="center"/>
      <protection locked="0"/>
    </xf>
    <xf numFmtId="0" fontId="0" fillId="4" borderId="4" xfId="0" applyFill="1" applyBorder="1" applyProtection="1">
      <protection locked="0"/>
    </xf>
    <xf numFmtId="0" fontId="0" fillId="4" borderId="15" xfId="0" applyFill="1" applyBorder="1" applyAlignment="1" applyProtection="1">
      <alignment horizontal="center" vertical="center"/>
      <protection locked="0"/>
    </xf>
    <xf numFmtId="0" fontId="0" fillId="4" borderId="9" xfId="0" applyFill="1" applyBorder="1" applyProtection="1">
      <protection locked="0"/>
    </xf>
    <xf numFmtId="0" fontId="5" fillId="4" borderId="14" xfId="0" applyFont="1" applyFill="1" applyBorder="1" applyAlignment="1" applyProtection="1">
      <alignment horizontal="center" vertical="center"/>
      <protection locked="0"/>
    </xf>
    <xf numFmtId="0" fontId="5" fillId="4" borderId="6" xfId="0" applyFont="1" applyFill="1" applyBorder="1" applyProtection="1">
      <protection locked="0"/>
    </xf>
    <xf numFmtId="0" fontId="5" fillId="4" borderId="13" xfId="0" applyFont="1" applyFill="1" applyBorder="1" applyAlignment="1" applyProtection="1">
      <alignment horizontal="center" vertical="center"/>
      <protection locked="0"/>
    </xf>
    <xf numFmtId="0" fontId="5" fillId="4" borderId="4" xfId="0" applyFont="1" applyFill="1" applyBorder="1" applyProtection="1">
      <protection locked="0"/>
    </xf>
    <xf numFmtId="0" fontId="5" fillId="4" borderId="15" xfId="0" applyFont="1" applyFill="1" applyBorder="1" applyAlignment="1" applyProtection="1">
      <alignment horizontal="center" vertical="center"/>
      <protection locked="0"/>
    </xf>
    <xf numFmtId="0" fontId="5" fillId="4" borderId="9" xfId="0" applyFont="1" applyFill="1" applyBorder="1" applyProtection="1">
      <protection locked="0"/>
    </xf>
    <xf numFmtId="0" fontId="0" fillId="4" borderId="13" xfId="0" applyFill="1" applyBorder="1" applyProtection="1">
      <protection locked="0"/>
    </xf>
    <xf numFmtId="0" fontId="0" fillId="4" borderId="15" xfId="0" applyFill="1" applyBorder="1" applyProtection="1">
      <protection locked="0"/>
    </xf>
    <xf numFmtId="0" fontId="0" fillId="4" borderId="14" xfId="0" applyFill="1" applyBorder="1" applyProtection="1">
      <protection locked="0"/>
    </xf>
    <xf numFmtId="0" fontId="0" fillId="4" borderId="14" xfId="0" applyFill="1" applyBorder="1" applyAlignment="1" applyProtection="1">
      <alignment horizontal="left" vertical="top"/>
      <protection locked="0"/>
    </xf>
    <xf numFmtId="0" fontId="0" fillId="4" borderId="13" xfId="0" applyFill="1" applyBorder="1" applyAlignment="1" applyProtection="1">
      <alignment horizontal="left" vertical="top"/>
      <protection locked="0"/>
    </xf>
    <xf numFmtId="0" fontId="0" fillId="4" borderId="15" xfId="0" applyFill="1" applyBorder="1" applyAlignment="1" applyProtection="1">
      <alignment horizontal="left" vertical="top"/>
      <protection locked="0"/>
    </xf>
    <xf numFmtId="0" fontId="0" fillId="4" borderId="4" xfId="0" applyFill="1" applyBorder="1" applyAlignment="1" applyProtection="1">
      <alignment horizontal="left" vertical="top"/>
      <protection locked="0"/>
    </xf>
    <xf numFmtId="0" fontId="0" fillId="4" borderId="6" xfId="0" applyFill="1" applyBorder="1" applyAlignment="1" applyProtection="1">
      <alignment horizontal="left" vertical="top"/>
      <protection locked="0"/>
    </xf>
    <xf numFmtId="0" fontId="0" fillId="4" borderId="9" xfId="0" applyFill="1" applyBorder="1" applyAlignment="1" applyProtection="1">
      <alignment horizontal="left" vertical="top"/>
      <protection locked="0"/>
    </xf>
    <xf numFmtId="0" fontId="3" fillId="3" borderId="1" xfId="0" applyFont="1" applyFill="1" applyBorder="1" applyAlignment="1">
      <alignment horizontal="center" vertical="center" wrapText="1"/>
    </xf>
    <xf numFmtId="0" fontId="12" fillId="6" borderId="2" xfId="0" applyFont="1" applyFill="1" applyBorder="1" applyAlignment="1">
      <alignment vertical="top" wrapText="1"/>
    </xf>
    <xf numFmtId="0" fontId="13" fillId="6" borderId="5" xfId="0" applyFont="1" applyFill="1" applyBorder="1" applyAlignment="1">
      <alignment vertical="top" wrapText="1"/>
    </xf>
    <xf numFmtId="0" fontId="12" fillId="6" borderId="5" xfId="0" applyFont="1" applyFill="1" applyBorder="1" applyAlignment="1">
      <alignment vertical="top" wrapText="1"/>
    </xf>
    <xf numFmtId="0" fontId="12" fillId="6" borderId="7" xfId="0" applyFont="1" applyFill="1" applyBorder="1" applyAlignment="1">
      <alignment vertical="top" wrapText="1"/>
    </xf>
    <xf numFmtId="0" fontId="12" fillId="6" borderId="0" xfId="0" applyFont="1" applyFill="1" applyBorder="1" applyAlignment="1">
      <alignment vertical="top" wrapText="1"/>
    </xf>
    <xf numFmtId="0" fontId="12" fillId="6" borderId="19" xfId="0" applyFont="1" applyFill="1" applyBorder="1" applyAlignment="1">
      <alignment vertical="top" wrapText="1"/>
    </xf>
    <xf numFmtId="0" fontId="12" fillId="6" borderId="17" xfId="0" applyFont="1" applyFill="1" applyBorder="1" applyAlignment="1">
      <alignment vertical="top" wrapText="1"/>
    </xf>
    <xf numFmtId="0" fontId="12" fillId="6" borderId="21" xfId="0" applyFont="1" applyFill="1" applyBorder="1" applyAlignment="1">
      <alignment vertical="top" wrapText="1"/>
    </xf>
    <xf numFmtId="0" fontId="3" fillId="2" borderId="13" xfId="0" applyFont="1" applyFill="1" applyBorder="1" applyAlignment="1">
      <alignment horizontal="center" vertical="center" wrapText="1"/>
    </xf>
    <xf numFmtId="0" fontId="3" fillId="0" borderId="0" xfId="0" applyFont="1" applyFill="1" applyAlignment="1">
      <alignment horizontal="center" vertical="center"/>
    </xf>
    <xf numFmtId="0" fontId="17" fillId="0" borderId="14" xfId="0" applyFont="1" applyBorder="1" applyAlignment="1">
      <alignment horizontal="center" vertical="top" wrapText="1"/>
    </xf>
    <xf numFmtId="0" fontId="16" fillId="0" borderId="14" xfId="0" applyFont="1" applyBorder="1" applyAlignment="1">
      <alignment horizontal="center" vertical="top" wrapText="1"/>
    </xf>
    <xf numFmtId="0" fontId="16" fillId="0" borderId="15" xfId="0" applyFont="1" applyBorder="1" applyAlignment="1">
      <alignment horizontal="center" vertical="top" wrapText="1"/>
    </xf>
    <xf numFmtId="0" fontId="11" fillId="0" borderId="14" xfId="0" applyFont="1" applyBorder="1" applyAlignment="1">
      <alignment horizontal="center" vertical="top" wrapText="1"/>
    </xf>
    <xf numFmtId="0" fontId="3" fillId="0" borderId="14" xfId="0" applyFont="1" applyBorder="1" applyAlignment="1">
      <alignment horizontal="center" vertical="top" wrapText="1"/>
    </xf>
    <xf numFmtId="0" fontId="3" fillId="0" borderId="15" xfId="0" applyFont="1" applyBorder="1" applyAlignment="1">
      <alignment horizontal="center" vertical="top" wrapText="1"/>
    </xf>
    <xf numFmtId="0" fontId="11" fillId="0" borderId="5" xfId="0" applyFont="1" applyBorder="1" applyAlignment="1">
      <alignment horizontal="center" vertical="top" wrapText="1"/>
    </xf>
    <xf numFmtId="0" fontId="3" fillId="0" borderId="5" xfId="0" applyFont="1" applyBorder="1" applyAlignment="1">
      <alignment horizontal="center" vertical="top" wrapText="1"/>
    </xf>
    <xf numFmtId="0" fontId="3" fillId="0" borderId="7" xfId="0" applyFont="1" applyBorder="1" applyAlignment="1">
      <alignment horizontal="center" vertical="top" wrapText="1"/>
    </xf>
    <xf numFmtId="0" fontId="3" fillId="0" borderId="0" xfId="0" applyFont="1" applyAlignment="1">
      <alignment horizontal="center" vertical="center" wrapText="1"/>
    </xf>
    <xf numFmtId="0" fontId="21" fillId="0" borderId="13" xfId="0" applyFont="1" applyBorder="1" applyAlignment="1">
      <alignment horizontal="center" vertical="top" wrapText="1"/>
    </xf>
    <xf numFmtId="0" fontId="21" fillId="0" borderId="2" xfId="0" applyFont="1" applyBorder="1" applyAlignment="1">
      <alignment horizontal="center" vertical="top" wrapText="1"/>
    </xf>
    <xf numFmtId="0" fontId="0" fillId="0" borderId="0" xfId="0" applyAlignment="1">
      <alignment horizontal="center" vertical="center"/>
    </xf>
    <xf numFmtId="0" fontId="0" fillId="0" borderId="0" xfId="0" applyFont="1" applyAlignment="1">
      <alignment horizontal="center"/>
    </xf>
    <xf numFmtId="0" fontId="0" fillId="0" borderId="5" xfId="0" applyFont="1" applyBorder="1"/>
    <xf numFmtId="0" fontId="0" fillId="0" borderId="6" xfId="0" applyBorder="1" applyAlignment="1">
      <alignment horizontal="center" vertical="center"/>
    </xf>
    <xf numFmtId="0" fontId="7" fillId="0" borderId="5" xfId="0" applyFont="1" applyBorder="1" applyAlignment="1">
      <alignment horizontal="left" indent="2"/>
    </xf>
    <xf numFmtId="0" fontId="0" fillId="0" borderId="6" xfId="0" applyFont="1" applyBorder="1" applyAlignment="1">
      <alignment horizontal="center" vertical="center"/>
    </xf>
    <xf numFmtId="0" fontId="7" fillId="0" borderId="7" xfId="0" applyFont="1" applyBorder="1" applyAlignment="1">
      <alignment horizontal="left" indent="2"/>
    </xf>
    <xf numFmtId="0" fontId="0" fillId="0" borderId="9" xfId="0" applyBorder="1"/>
    <xf numFmtId="0" fontId="0" fillId="0" borderId="14" xfId="0" applyFont="1" applyBorder="1" applyAlignment="1">
      <alignment horizontal="center" vertical="center"/>
    </xf>
    <xf numFmtId="0" fontId="0" fillId="0" borderId="15" xfId="0" applyFont="1" applyBorder="1" applyAlignment="1">
      <alignment horizontal="center" vertical="center"/>
    </xf>
    <xf numFmtId="0" fontId="3" fillId="3" borderId="12" xfId="0" applyFont="1" applyFill="1" applyBorder="1" applyAlignment="1">
      <alignment horizontal="center" vertical="center" wrapText="1"/>
    </xf>
    <xf numFmtId="0" fontId="22" fillId="0" borderId="0" xfId="0" applyFont="1" applyAlignment="1">
      <alignment horizontal="left" vertical="center" indent="2"/>
    </xf>
    <xf numFmtId="0" fontId="19" fillId="7" borderId="10" xfId="0" applyFont="1" applyFill="1" applyBorder="1" applyAlignment="1">
      <alignment horizontal="center" vertical="center" wrapText="1"/>
    </xf>
    <xf numFmtId="164" fontId="3" fillId="7" borderId="12" xfId="0" applyNumberFormat="1" applyFont="1" applyFill="1" applyBorder="1" applyAlignment="1">
      <alignment horizontal="center" vertical="center"/>
    </xf>
    <xf numFmtId="0" fontId="5" fillId="0" borderId="0" xfId="0" applyFont="1" applyBorder="1" applyAlignment="1">
      <alignment vertical="top"/>
    </xf>
    <xf numFmtId="0" fontId="5" fillId="0" borderId="3" xfId="0" applyFont="1" applyBorder="1" applyAlignment="1">
      <alignment vertical="top"/>
    </xf>
    <xf numFmtId="43" fontId="5" fillId="0" borderId="8" xfId="1" applyFont="1" applyBorder="1" applyAlignment="1">
      <alignment vertical="top"/>
    </xf>
    <xf numFmtId="0" fontId="5" fillId="0" borderId="8" xfId="0" applyFont="1" applyBorder="1" applyAlignment="1">
      <alignment vertical="top"/>
    </xf>
    <xf numFmtId="0" fontId="5" fillId="0" borderId="0" xfId="0" applyFont="1" applyBorder="1" applyAlignment="1">
      <alignment vertical="top" wrapText="1"/>
    </xf>
    <xf numFmtId="0" fontId="0" fillId="0" borderId="0" xfId="0" applyAlignment="1">
      <alignment vertical="center"/>
    </xf>
    <xf numFmtId="0" fontId="0" fillId="0" borderId="6" xfId="0" applyBorder="1" applyAlignment="1">
      <alignment vertical="center"/>
    </xf>
    <xf numFmtId="0" fontId="0" fillId="5" borderId="1" xfId="0" applyFill="1" applyBorder="1" applyAlignment="1" applyProtection="1">
      <alignment vertical="center"/>
      <protection locked="0"/>
    </xf>
    <xf numFmtId="0" fontId="0" fillId="5" borderId="1" xfId="0" applyFill="1" applyBorder="1" applyAlignment="1" applyProtection="1">
      <alignment horizontal="center" vertical="center"/>
      <protection locked="0"/>
    </xf>
    <xf numFmtId="164" fontId="0" fillId="5" borderId="1"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6" xfId="0" applyBorder="1" applyAlignment="1">
      <alignment horizontal="left" vertical="center"/>
    </xf>
    <xf numFmtId="0" fontId="5" fillId="5" borderId="1" xfId="0" applyFont="1" applyFill="1" applyBorder="1" applyAlignment="1" applyProtection="1">
      <alignment horizontal="center" vertical="center"/>
      <protection locked="0"/>
    </xf>
    <xf numFmtId="0" fontId="5" fillId="5" borderId="1" xfId="0" applyFont="1" applyFill="1" applyBorder="1" applyAlignment="1" applyProtection="1">
      <alignment vertical="center"/>
      <protection locked="0"/>
    </xf>
    <xf numFmtId="0" fontId="6" fillId="0" borderId="2" xfId="0" applyFont="1" applyBorder="1" applyAlignment="1">
      <alignment horizontal="left" vertical="top"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0" borderId="13" xfId="0" applyFont="1" applyBorder="1" applyAlignment="1">
      <alignment horizontal="left" vertical="top" wrapText="1"/>
    </xf>
    <xf numFmtId="0" fontId="6" fillId="0" borderId="15" xfId="0" applyFont="1" applyBorder="1" applyAlignment="1">
      <alignment horizontal="left" vertical="top" wrapText="1"/>
    </xf>
    <xf numFmtId="0" fontId="6" fillId="0" borderId="14" xfId="0" applyFont="1" applyBorder="1" applyAlignment="1">
      <alignment horizontal="left" vertical="top" wrapText="1"/>
    </xf>
    <xf numFmtId="0" fontId="8" fillId="0" borderId="2" xfId="0" applyFont="1" applyBorder="1" applyAlignment="1">
      <alignment horizontal="center" vertical="top" wrapText="1"/>
    </xf>
    <xf numFmtId="0" fontId="8"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7" xfId="0" applyFont="1" applyBorder="1" applyAlignment="1">
      <alignment horizontal="center" vertical="top" wrapText="1"/>
    </xf>
    <xf numFmtId="0" fontId="8" fillId="0" borderId="2" xfId="0" applyFont="1" applyBorder="1" applyAlignment="1">
      <alignment horizontal="left" vertical="top" wrapText="1"/>
    </xf>
    <xf numFmtId="0" fontId="8" fillId="0" borderId="5" xfId="0" applyFont="1" applyBorder="1" applyAlignment="1">
      <alignment horizontal="left" vertical="top" wrapText="1"/>
    </xf>
    <xf numFmtId="0" fontId="8" fillId="0" borderId="7" xfId="0" applyFont="1" applyBorder="1" applyAlignment="1">
      <alignment horizontal="left" vertical="top" wrapText="1"/>
    </xf>
    <xf numFmtId="0" fontId="3" fillId="7" borderId="2" xfId="0" applyFont="1" applyFill="1" applyBorder="1" applyAlignment="1">
      <alignment horizontal="center" vertical="center"/>
    </xf>
    <xf numFmtId="0" fontId="3" fillId="7" borderId="4" xfId="0" applyFont="1" applyFill="1" applyBorder="1" applyAlignment="1">
      <alignment horizontal="center" vertical="center"/>
    </xf>
    <xf numFmtId="164" fontId="3" fillId="7" borderId="7" xfId="0" applyNumberFormat="1" applyFont="1" applyFill="1" applyBorder="1" applyAlignment="1">
      <alignment horizontal="center" vertical="center"/>
    </xf>
    <xf numFmtId="164" fontId="3" fillId="7" borderId="9" xfId="0" applyNumberFormat="1" applyFont="1" applyFill="1" applyBorder="1" applyAlignment="1">
      <alignment horizontal="center" vertical="center"/>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2</xdr:row>
      <xdr:rowOff>60217</xdr:rowOff>
    </xdr:from>
    <xdr:to>
      <xdr:col>19</xdr:col>
      <xdr:colOff>499054</xdr:colOff>
      <xdr:row>22</xdr:row>
      <xdr:rowOff>155122</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6705600" y="488842"/>
          <a:ext cx="5375854" cy="390490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1</xdr:col>
      <xdr:colOff>123825</xdr:colOff>
      <xdr:row>4</xdr:row>
      <xdr:rowOff>38100</xdr:rowOff>
    </xdr:from>
    <xdr:to>
      <xdr:col>8</xdr:col>
      <xdr:colOff>514350</xdr:colOff>
      <xdr:row>14</xdr:row>
      <xdr:rowOff>180975</xdr:rowOff>
    </xdr:to>
    <xdr:sp macro="" textlink="">
      <xdr:nvSpPr>
        <xdr:cNvPr id="3" name="TextBox 2"/>
        <xdr:cNvSpPr txBox="1"/>
      </xdr:nvSpPr>
      <xdr:spPr>
        <a:xfrm>
          <a:off x="733425" y="847725"/>
          <a:ext cx="4657725" cy="204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000"/>
            <a:t>The Stepwise Approach</a:t>
          </a:r>
          <a:r>
            <a:rPr lang="en-PH" sz="1000" baseline="0"/>
            <a:t> towards Rabies Elimination (SARE) has been developed as a template that countries may use to develop activities and measure progress towards a national programme and strategy for sustainable rabies prevention, control and eventually elimination. </a:t>
          </a:r>
        </a:p>
        <a:p>
          <a:endParaRPr lang="en-PH" sz="1000" baseline="0"/>
        </a:p>
        <a:p>
          <a:r>
            <a:rPr lang="en-PH" sz="1000" baseline="0"/>
            <a:t>This tool focuses on the prevention of dog-transmitted human rabies.</a:t>
          </a:r>
        </a:p>
        <a:p>
          <a:endParaRPr lang="en-PH" sz="1000" baseline="0"/>
        </a:p>
        <a:p>
          <a:pPr marL="0" marR="0" indent="0" defTabSz="914400" eaLnBrk="1" fontAlgn="auto" latinLnBrk="0" hangingPunct="1">
            <a:lnSpc>
              <a:spcPct val="100000"/>
            </a:lnSpc>
            <a:spcBef>
              <a:spcPts val="0"/>
            </a:spcBef>
            <a:spcAft>
              <a:spcPts val="0"/>
            </a:spcAft>
            <a:buClrTx/>
            <a:buSzTx/>
            <a:buFontTx/>
            <a:buNone/>
            <a:tabLst/>
            <a:defRPr/>
          </a:pPr>
          <a:r>
            <a:rPr lang="en-PH" sz="1000">
              <a:solidFill>
                <a:schemeClr val="dk1"/>
              </a:solidFill>
              <a:effectLst/>
              <a:latin typeface="+mn-lt"/>
              <a:ea typeface="+mn-ea"/>
              <a:cs typeface="+mn-cs"/>
            </a:rPr>
            <a:t>SARE is</a:t>
          </a:r>
          <a:r>
            <a:rPr lang="en-PH" sz="1000" baseline="0">
              <a:solidFill>
                <a:schemeClr val="dk1"/>
              </a:solidFill>
              <a:effectLst/>
              <a:latin typeface="+mn-lt"/>
              <a:ea typeface="+mn-ea"/>
              <a:cs typeface="+mn-cs"/>
            </a:rPr>
            <a:t> not prescriptive nor is it intended to replace existing regional or national rabies control strategies. This tool may serve as a self-assessment and a practical guide in developing a national rabies program and to successfully implement the different described stages.</a:t>
          </a:r>
          <a:endParaRPr lang="en-PH" sz="1000">
            <a:effectLst/>
          </a:endParaRPr>
        </a:p>
        <a:p>
          <a:endParaRPr lang="en-PH" sz="1000"/>
        </a:p>
      </xdr:txBody>
    </xdr:sp>
    <xdr:clientData/>
  </xdr:twoCellAnchor>
  <xdr:twoCellAnchor>
    <xdr:from>
      <xdr:col>5</xdr:col>
      <xdr:colOff>200025</xdr:colOff>
      <xdr:row>0</xdr:row>
      <xdr:rowOff>66675</xdr:rowOff>
    </xdr:from>
    <xdr:to>
      <xdr:col>13</xdr:col>
      <xdr:colOff>200024</xdr:colOff>
      <xdr:row>3</xdr:row>
      <xdr:rowOff>66675</xdr:rowOff>
    </xdr:to>
    <xdr:sp macro="" textlink="">
      <xdr:nvSpPr>
        <xdr:cNvPr id="4" name="TextBox 3"/>
        <xdr:cNvSpPr txBox="1"/>
      </xdr:nvSpPr>
      <xdr:spPr>
        <a:xfrm>
          <a:off x="3248025" y="66675"/>
          <a:ext cx="4876799" cy="619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PH" sz="1600" b="1"/>
            <a:t>The Stepwise Approach towards Rabies Elimination:</a:t>
          </a:r>
        </a:p>
        <a:p>
          <a:pPr algn="ctr"/>
          <a:endParaRPr lang="en-PH" sz="100"/>
        </a:p>
        <a:p>
          <a:pPr algn="ctr"/>
          <a:r>
            <a:rPr lang="en-PH" sz="1400"/>
            <a:t>A planning and evaluation tool</a:t>
          </a:r>
        </a:p>
      </xdr:txBody>
    </xdr:sp>
    <xdr:clientData/>
  </xdr:twoCellAnchor>
  <xdr:twoCellAnchor>
    <xdr:from>
      <xdr:col>1</xdr:col>
      <xdr:colOff>533400</xdr:colOff>
      <xdr:row>15</xdr:row>
      <xdr:rowOff>85725</xdr:rowOff>
    </xdr:from>
    <xdr:to>
      <xdr:col>7</xdr:col>
      <xdr:colOff>485775</xdr:colOff>
      <xdr:row>19</xdr:row>
      <xdr:rowOff>133350</xdr:rowOff>
    </xdr:to>
    <xdr:sp macro="" textlink="">
      <xdr:nvSpPr>
        <xdr:cNvPr id="6" name="TextBox 5"/>
        <xdr:cNvSpPr txBox="1"/>
      </xdr:nvSpPr>
      <xdr:spPr>
        <a:xfrm>
          <a:off x="1143000" y="2990850"/>
          <a:ext cx="3609975" cy="809625"/>
        </a:xfrm>
        <a:prstGeom prst="rect">
          <a:avLst/>
        </a:prstGeom>
        <a:solidFill>
          <a:schemeClr val="accent4">
            <a:lumMod val="20000"/>
            <a:lumOff val="80000"/>
          </a:schemeClr>
        </a:solidFill>
        <a:ln w="9525" cmpd="sng">
          <a:no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PH" sz="1000"/>
            <a:t>Please</a:t>
          </a:r>
          <a:r>
            <a:rPr lang="en-PH" sz="1000" baseline="0"/>
            <a:t> fill out worksheets </a:t>
          </a:r>
          <a:r>
            <a:rPr lang="en-PH" sz="1000" b="1" baseline="0"/>
            <a:t>Country profile</a:t>
          </a:r>
          <a:r>
            <a:rPr lang="en-PH" sz="1000" b="0" baseline="0"/>
            <a:t> to </a:t>
          </a:r>
          <a:r>
            <a:rPr lang="en-PH" sz="1000" b="1" baseline="0"/>
            <a:t>Cross-cutting issues</a:t>
          </a:r>
          <a:r>
            <a:rPr lang="en-PH" sz="1000" b="0" baseline="0"/>
            <a:t>. </a:t>
          </a:r>
        </a:p>
        <a:p>
          <a:pPr algn="ctr"/>
          <a:endParaRPr lang="en-PH" sz="1000" b="0" baseline="0">
            <a:effectLst/>
          </a:endParaRPr>
        </a:p>
        <a:p>
          <a:pPr algn="ctr"/>
          <a:r>
            <a:rPr lang="en-PH" sz="1000" b="0" baseline="0">
              <a:effectLst/>
            </a:rPr>
            <a:t>A summary of your country's accomplished and pending rabies program activities will be listed in the </a:t>
          </a:r>
          <a:r>
            <a:rPr lang="en-PH" sz="1000" b="1" baseline="0">
              <a:effectLst/>
            </a:rPr>
            <a:t>SUMMARY</a:t>
          </a:r>
          <a:r>
            <a:rPr lang="en-PH" sz="1000" b="0" baseline="0">
              <a:effectLst/>
            </a:rPr>
            <a:t> worksheets.</a:t>
          </a:r>
          <a:endParaRPr lang="en-PH" sz="1000">
            <a:effectLst/>
          </a:endParaRPr>
        </a:p>
        <a:p>
          <a:pPr algn="ctr"/>
          <a:endParaRPr lang="en-PH" sz="10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A2"/>
  <sheetViews>
    <sheetView showGridLines="0" workbookViewId="0"/>
  </sheetViews>
  <sheetFormatPr defaultRowHeight="15"/>
  <sheetData>
    <row r="1" spans="1:1" ht="18.75">
      <c r="A1" s="109"/>
    </row>
    <row r="2" spans="1:1">
      <c r="A2" s="11"/>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dimension ref="A1:F19"/>
  <sheetViews>
    <sheetView topLeftCell="B8" workbookViewId="0">
      <selection activeCell="F17" sqref="F17"/>
    </sheetView>
  </sheetViews>
  <sheetFormatPr defaultRowHeight="15"/>
  <cols>
    <col min="1" max="1" width="9.140625" style="4" customWidth="1"/>
    <col min="2" max="2" width="14.85546875" customWidth="1"/>
    <col min="3" max="3" width="56" style="5" customWidth="1"/>
    <col min="4" max="4" width="50.28515625" customWidth="1"/>
    <col min="6" max="6" width="38.85546875" customWidth="1"/>
  </cols>
  <sheetData>
    <row r="1" spans="1:6" ht="15.75">
      <c r="A1" s="14" t="s">
        <v>125</v>
      </c>
      <c r="D1" s="5"/>
    </row>
    <row r="2" spans="1:6">
      <c r="A2" s="2" t="s">
        <v>4</v>
      </c>
      <c r="D2" s="5"/>
    </row>
    <row r="4" spans="1:6" s="145" customFormat="1" ht="30">
      <c r="A4" s="101" t="s">
        <v>0</v>
      </c>
      <c r="B4" s="105" t="s">
        <v>151</v>
      </c>
      <c r="C4" s="107" t="s">
        <v>1</v>
      </c>
      <c r="D4" s="135" t="s">
        <v>428</v>
      </c>
      <c r="E4" s="103" t="s">
        <v>2</v>
      </c>
      <c r="F4" s="104" t="s">
        <v>3</v>
      </c>
    </row>
    <row r="5" spans="1:6" ht="30">
      <c r="A5" s="31">
        <v>1</v>
      </c>
      <c r="B5" s="186" t="s">
        <v>108</v>
      </c>
      <c r="C5" s="24" t="s">
        <v>95</v>
      </c>
      <c r="D5" s="98"/>
      <c r="E5" s="114">
        <v>1</v>
      </c>
      <c r="F5" s="115" t="s">
        <v>494</v>
      </c>
    </row>
    <row r="6" spans="1:6">
      <c r="A6" s="31">
        <v>1</v>
      </c>
      <c r="B6" s="187"/>
      <c r="C6" s="24" t="s">
        <v>96</v>
      </c>
      <c r="D6" s="98"/>
      <c r="E6" s="114">
        <v>1</v>
      </c>
      <c r="F6" s="115" t="s">
        <v>495</v>
      </c>
    </row>
    <row r="7" spans="1:6" ht="30">
      <c r="A7" s="31">
        <v>1</v>
      </c>
      <c r="B7" s="187"/>
      <c r="C7" s="24" t="s">
        <v>97</v>
      </c>
      <c r="D7" s="98" t="s">
        <v>439</v>
      </c>
      <c r="E7" s="114">
        <v>0</v>
      </c>
      <c r="F7" s="115" t="s">
        <v>496</v>
      </c>
    </row>
    <row r="8" spans="1:6" ht="30">
      <c r="A8" s="31">
        <v>2</v>
      </c>
      <c r="B8" s="187"/>
      <c r="C8" s="24" t="s">
        <v>100</v>
      </c>
      <c r="D8" s="98"/>
      <c r="E8" s="114">
        <v>0</v>
      </c>
      <c r="F8" s="115" t="s">
        <v>497</v>
      </c>
    </row>
    <row r="9" spans="1:6">
      <c r="A9" s="31">
        <v>2</v>
      </c>
      <c r="B9" s="187"/>
      <c r="C9" s="41" t="s">
        <v>103</v>
      </c>
      <c r="D9" s="98"/>
      <c r="E9" s="114">
        <v>0</v>
      </c>
      <c r="F9" s="115" t="s">
        <v>498</v>
      </c>
    </row>
    <row r="10" spans="1:6" ht="45">
      <c r="A10" s="30">
        <v>1</v>
      </c>
      <c r="B10" s="186" t="s">
        <v>109</v>
      </c>
      <c r="C10" s="42" t="s">
        <v>98</v>
      </c>
      <c r="D10" s="99"/>
      <c r="E10" s="116">
        <v>0</v>
      </c>
      <c r="F10" s="117" t="s">
        <v>499</v>
      </c>
    </row>
    <row r="11" spans="1:6" ht="30">
      <c r="A11" s="31">
        <v>1</v>
      </c>
      <c r="B11" s="187"/>
      <c r="C11" s="41" t="s">
        <v>99</v>
      </c>
      <c r="D11" s="98"/>
      <c r="E11" s="114">
        <v>0</v>
      </c>
      <c r="F11" s="115" t="s">
        <v>500</v>
      </c>
    </row>
    <row r="12" spans="1:6" ht="45">
      <c r="A12" s="31">
        <v>2</v>
      </c>
      <c r="B12" s="187"/>
      <c r="C12" s="41" t="s">
        <v>101</v>
      </c>
      <c r="D12" s="98"/>
      <c r="E12" s="114">
        <v>0</v>
      </c>
      <c r="F12" s="115" t="s">
        <v>501</v>
      </c>
    </row>
    <row r="13" spans="1:6" ht="30">
      <c r="A13" s="31">
        <v>2</v>
      </c>
      <c r="B13" s="187"/>
      <c r="C13" s="41" t="s">
        <v>102</v>
      </c>
      <c r="D13" s="98"/>
      <c r="E13" s="114">
        <v>0</v>
      </c>
      <c r="F13" s="115" t="s">
        <v>502</v>
      </c>
    </row>
    <row r="14" spans="1:6" ht="30">
      <c r="A14" s="31">
        <v>3</v>
      </c>
      <c r="B14" s="187"/>
      <c r="C14" s="41" t="s">
        <v>139</v>
      </c>
      <c r="D14" s="98" t="s">
        <v>142</v>
      </c>
      <c r="E14" s="114">
        <v>0</v>
      </c>
      <c r="F14" s="115" t="s">
        <v>503</v>
      </c>
    </row>
    <row r="15" spans="1:6" ht="30">
      <c r="A15" s="31">
        <v>3</v>
      </c>
      <c r="B15" s="187"/>
      <c r="C15" s="41" t="s">
        <v>140</v>
      </c>
      <c r="D15" s="98" t="s">
        <v>142</v>
      </c>
      <c r="E15" s="114">
        <v>0</v>
      </c>
      <c r="F15" s="115" t="s">
        <v>478</v>
      </c>
    </row>
    <row r="16" spans="1:6" ht="45">
      <c r="A16" s="31">
        <v>3</v>
      </c>
      <c r="B16" s="187"/>
      <c r="C16" s="41" t="s">
        <v>104</v>
      </c>
      <c r="D16" s="98"/>
      <c r="E16" s="114">
        <v>0</v>
      </c>
      <c r="F16" s="115" t="s">
        <v>478</v>
      </c>
    </row>
    <row r="17" spans="1:6" ht="30">
      <c r="A17" s="32">
        <v>4</v>
      </c>
      <c r="B17" s="188"/>
      <c r="C17" s="43" t="s">
        <v>107</v>
      </c>
      <c r="D17" s="100"/>
      <c r="E17" s="118">
        <v>0</v>
      </c>
      <c r="F17" s="119" t="s">
        <v>504</v>
      </c>
    </row>
    <row r="18" spans="1:6" ht="30">
      <c r="A18" s="31">
        <v>4</v>
      </c>
      <c r="B18" s="187" t="s">
        <v>110</v>
      </c>
      <c r="C18" s="24" t="s">
        <v>105</v>
      </c>
      <c r="D18" s="98"/>
      <c r="E18" s="114">
        <v>0</v>
      </c>
      <c r="F18" s="115" t="s">
        <v>478</v>
      </c>
    </row>
    <row r="19" spans="1:6" ht="30">
      <c r="A19" s="32">
        <v>4</v>
      </c>
      <c r="B19" s="188"/>
      <c r="C19" s="25" t="s">
        <v>106</v>
      </c>
      <c r="D19" s="100"/>
      <c r="E19" s="118">
        <v>0</v>
      </c>
      <c r="F19" s="119" t="s">
        <v>505</v>
      </c>
    </row>
  </sheetData>
  <mergeCells count="3">
    <mergeCell ref="B18:B19"/>
    <mergeCell ref="B10:B17"/>
    <mergeCell ref="B5:B9"/>
  </mergeCells>
  <dataValidations count="1">
    <dataValidation type="whole" operator="lessThanOrEqual" allowBlank="1" showErrorMessage="1" error="Please enter:&#10;&quot;0&quot; if No or None, or&#10;&quot;1&quot; if Yes" sqref="E1:E1048576">
      <formula1>1</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sheetPr>
    <tabColor rgb="FF92D050"/>
  </sheetPr>
  <dimension ref="A1:D32"/>
  <sheetViews>
    <sheetView topLeftCell="B7" workbookViewId="0">
      <selection activeCell="C7" sqref="C7:D7"/>
    </sheetView>
  </sheetViews>
  <sheetFormatPr defaultRowHeight="15"/>
  <cols>
    <col min="1" max="1" width="10.7109375" customWidth="1"/>
    <col min="2" max="2" width="36.28515625" customWidth="1"/>
    <col min="3" max="4" width="16.7109375" customWidth="1"/>
  </cols>
  <sheetData>
    <row r="1" spans="1:4" ht="18.75">
      <c r="A1" s="110" t="s">
        <v>154</v>
      </c>
    </row>
    <row r="2" spans="1:4">
      <c r="A2" s="16" t="s">
        <v>155</v>
      </c>
    </row>
    <row r="3" spans="1:4">
      <c r="A3" s="16"/>
    </row>
    <row r="4" spans="1:4">
      <c r="A4" s="16"/>
    </row>
    <row r="5" spans="1:4">
      <c r="A5" s="16"/>
    </row>
    <row r="6" spans="1:4" s="158" customFormat="1" ht="28.5" customHeight="1">
      <c r="C6" s="199" t="str">
        <f>'SUMMARY (Stage)'!E1</f>
        <v>NIGERIA</v>
      </c>
      <c r="D6" s="200"/>
    </row>
    <row r="7" spans="1:4" s="158" customFormat="1" ht="28.5" customHeight="1">
      <c r="A7" s="1"/>
      <c r="C7" s="201" t="str">
        <f>'SUMMARY (Stage)'!F1</f>
        <v/>
      </c>
      <c r="D7" s="202"/>
    </row>
    <row r="8" spans="1:4">
      <c r="A8" s="16"/>
    </row>
    <row r="9" spans="1:4">
      <c r="A9" s="16"/>
    </row>
    <row r="10" spans="1:4">
      <c r="A10" s="16"/>
    </row>
    <row r="11" spans="1:4" ht="30">
      <c r="B11" s="101" t="s">
        <v>430</v>
      </c>
      <c r="C11" s="135" t="s">
        <v>431</v>
      </c>
      <c r="D11" s="168" t="s">
        <v>432</v>
      </c>
    </row>
    <row r="12" spans="1:4">
      <c r="B12" s="160" t="s">
        <v>34</v>
      </c>
      <c r="C12" s="166">
        <f>SUM(Legislation!E:E)</f>
        <v>3</v>
      </c>
      <c r="D12" s="161">
        <f>(COUNT(STATUS))-C12</f>
        <v>9</v>
      </c>
    </row>
    <row r="13" spans="1:4">
      <c r="B13" s="162" t="s">
        <v>35</v>
      </c>
      <c r="C13" s="166"/>
      <c r="D13" s="161"/>
    </row>
    <row r="14" spans="1:4">
      <c r="B14" s="160"/>
      <c r="C14" s="166"/>
      <c r="D14" s="161"/>
    </row>
    <row r="15" spans="1:4">
      <c r="B15" s="160" t="s">
        <v>36</v>
      </c>
      <c r="C15" s="166">
        <f>SUM('Data coll &amp; ax'!E:E)</f>
        <v>3</v>
      </c>
      <c r="D15" s="161">
        <f>(COUNT(datastatus)-'SUMMARY (Score)'!C15)</f>
        <v>6</v>
      </c>
    </row>
    <row r="16" spans="1:4">
      <c r="B16" s="162" t="s">
        <v>37</v>
      </c>
      <c r="C16" s="166"/>
      <c r="D16" s="161"/>
    </row>
    <row r="17" spans="2:4">
      <c r="B17" s="160"/>
      <c r="C17" s="166"/>
      <c r="D17" s="161"/>
    </row>
    <row r="18" spans="2:4">
      <c r="B18" s="160" t="s">
        <v>44</v>
      </c>
      <c r="C18" s="166">
        <f>SUM('Lab dx'!E:E)</f>
        <v>0</v>
      </c>
      <c r="D18" s="161">
        <f>COUNT(labstatus)-'SUMMARY (Score)'!C18</f>
        <v>10</v>
      </c>
    </row>
    <row r="19" spans="2:4">
      <c r="B19" s="162" t="s">
        <v>45</v>
      </c>
      <c r="C19" s="166"/>
      <c r="D19" s="161"/>
    </row>
    <row r="20" spans="2:4">
      <c r="B20" s="160"/>
      <c r="C20" s="166"/>
      <c r="D20" s="161"/>
    </row>
    <row r="21" spans="2:4">
      <c r="B21" s="160" t="s">
        <v>66</v>
      </c>
      <c r="C21" s="166">
        <f>SUM(IEC!E:E)</f>
        <v>6</v>
      </c>
      <c r="D21" s="161">
        <f>COUNT(iecstatus)-'SUMMARY (Score)'!C21</f>
        <v>11</v>
      </c>
    </row>
    <row r="22" spans="2:4">
      <c r="B22" s="162" t="s">
        <v>152</v>
      </c>
      <c r="C22" s="166"/>
      <c r="D22" s="161"/>
    </row>
    <row r="23" spans="2:4">
      <c r="B23" s="160"/>
      <c r="C23" s="166"/>
      <c r="D23" s="161"/>
    </row>
    <row r="24" spans="2:4">
      <c r="B24" s="160" t="s">
        <v>111</v>
      </c>
      <c r="C24" s="166">
        <f>SUM('Prev &amp; Ctrl'!E:E)</f>
        <v>7</v>
      </c>
      <c r="D24" s="161">
        <f>COUNT(prevstatus)-'SUMMARY (Score)'!C24</f>
        <v>17</v>
      </c>
    </row>
    <row r="25" spans="2:4">
      <c r="B25" s="162" t="s">
        <v>114</v>
      </c>
      <c r="C25" s="166"/>
      <c r="D25" s="161"/>
    </row>
    <row r="26" spans="2:4">
      <c r="B26" s="160"/>
      <c r="C26" s="166"/>
      <c r="D26" s="163"/>
    </row>
    <row r="27" spans="2:4">
      <c r="B27" s="160" t="s">
        <v>112</v>
      </c>
      <c r="C27" s="166">
        <f>SUM('Dog popn'!E:E)</f>
        <v>1</v>
      </c>
      <c r="D27" s="161">
        <f>(COUNT(dogstatus)-'SUMMARY (Score)'!C27)</f>
        <v>2</v>
      </c>
    </row>
    <row r="28" spans="2:4">
      <c r="B28" s="162" t="s">
        <v>115</v>
      </c>
      <c r="C28" s="166"/>
      <c r="D28" s="161"/>
    </row>
    <row r="29" spans="2:4">
      <c r="B29" s="160"/>
      <c r="C29" s="166"/>
      <c r="D29" s="161"/>
    </row>
    <row r="30" spans="2:4">
      <c r="B30" s="160" t="s">
        <v>113</v>
      </c>
      <c r="C30" s="166">
        <f>SUM('Cross-cutting issues'!E:E)</f>
        <v>2</v>
      </c>
      <c r="D30" s="161">
        <f>COUNT(crossstatus)-'SUMMARY (Score)'!C30</f>
        <v>13</v>
      </c>
    </row>
    <row r="31" spans="2:4">
      <c r="B31" s="164" t="s">
        <v>141</v>
      </c>
      <c r="C31" s="167"/>
      <c r="D31" s="165"/>
    </row>
    <row r="32" spans="2:4">
      <c r="C32" s="159"/>
    </row>
  </sheetData>
  <mergeCells count="2">
    <mergeCell ref="C6:D6"/>
    <mergeCell ref="C7:D7"/>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sheetPr>
    <tabColor rgb="FF92D050"/>
  </sheetPr>
  <dimension ref="A1:U55"/>
  <sheetViews>
    <sheetView workbookViewId="0">
      <pane xSplit="1" ySplit="5" topLeftCell="B6" activePane="bottomRight" state="frozen"/>
      <selection pane="topRight" activeCell="B1" sqref="B1"/>
      <selection pane="bottomLeft" activeCell="A5" sqref="A5"/>
      <selection pane="bottomRight" activeCell="E6" sqref="E6"/>
    </sheetView>
  </sheetViews>
  <sheetFormatPr defaultRowHeight="15"/>
  <cols>
    <col min="1" max="1" width="9.140625" style="155"/>
    <col min="2" max="3" width="30.42578125" style="15" customWidth="1"/>
    <col min="4" max="4" width="24.28515625" style="61" hidden="1" customWidth="1"/>
    <col min="5" max="6" width="30.42578125" style="15" customWidth="1"/>
    <col min="7" max="7" width="24.28515625" style="15" hidden="1" customWidth="1"/>
    <col min="8" max="9" width="30.42578125" style="15" customWidth="1"/>
    <col min="10" max="10" width="24.28515625" style="15" hidden="1" customWidth="1"/>
    <col min="11" max="12" width="30.42578125" style="15" customWidth="1"/>
    <col min="13" max="13" width="24.28515625" style="15" hidden="1" customWidth="1"/>
    <col min="14" max="15" width="30.42578125" style="15" customWidth="1"/>
    <col min="16" max="16" width="24.28515625" style="15" hidden="1" customWidth="1"/>
    <col min="17" max="18" width="30.42578125" style="15" customWidth="1"/>
    <col min="19" max="19" width="24.28515625" style="15" hidden="1" customWidth="1"/>
    <col min="20" max="21" width="30.42578125" style="15" customWidth="1"/>
    <col min="22" max="16384" width="9.140625" style="15"/>
  </cols>
  <sheetData>
    <row r="1" spans="1:21" ht="18.75">
      <c r="A1" s="110" t="s">
        <v>154</v>
      </c>
      <c r="E1" s="170" t="str">
        <f>IF(ISBLANK('Country profile'!E4:I4),"",UPPER('Country profile'!E4:I4))</f>
        <v>NIGERIA</v>
      </c>
      <c r="F1" s="171" t="str">
        <f>IF(ISBLANK('Country profile'!F14:I14),"",'Country profile'!F14:I14)</f>
        <v/>
      </c>
    </row>
    <row r="2" spans="1:21">
      <c r="A2" s="16" t="s">
        <v>153</v>
      </c>
    </row>
    <row r="4" spans="1:21">
      <c r="A4" s="203" t="s">
        <v>0</v>
      </c>
      <c r="B4" s="205" t="s">
        <v>119</v>
      </c>
      <c r="C4" s="206"/>
      <c r="D4" s="90"/>
      <c r="E4" s="205" t="s">
        <v>144</v>
      </c>
      <c r="F4" s="206"/>
      <c r="G4" s="91"/>
      <c r="H4" s="205" t="s">
        <v>121</v>
      </c>
      <c r="I4" s="206"/>
      <c r="J4" s="91"/>
      <c r="K4" s="205" t="s">
        <v>146</v>
      </c>
      <c r="L4" s="206"/>
      <c r="M4" s="144"/>
      <c r="N4" s="205" t="s">
        <v>145</v>
      </c>
      <c r="O4" s="206"/>
      <c r="P4" s="91"/>
      <c r="Q4" s="205" t="s">
        <v>124</v>
      </c>
      <c r="R4" s="206"/>
      <c r="S4" s="91"/>
      <c r="T4" s="205" t="s">
        <v>125</v>
      </c>
      <c r="U4" s="206"/>
    </row>
    <row r="5" spans="1:21" s="37" customFormat="1">
      <c r="A5" s="204"/>
      <c r="B5" s="92" t="s">
        <v>434</v>
      </c>
      <c r="C5" s="93" t="s">
        <v>143</v>
      </c>
      <c r="D5" s="94"/>
      <c r="E5" s="92" t="s">
        <v>434</v>
      </c>
      <c r="F5" s="93" t="s">
        <v>143</v>
      </c>
      <c r="G5" s="95"/>
      <c r="H5" s="92" t="s">
        <v>434</v>
      </c>
      <c r="I5" s="96" t="s">
        <v>143</v>
      </c>
      <c r="J5" s="95"/>
      <c r="K5" s="92" t="s">
        <v>434</v>
      </c>
      <c r="L5" s="93" t="s">
        <v>143</v>
      </c>
      <c r="M5" s="97"/>
      <c r="N5" s="92" t="s">
        <v>434</v>
      </c>
      <c r="O5" s="96" t="s">
        <v>143</v>
      </c>
      <c r="P5" s="95"/>
      <c r="Q5" s="92" t="s">
        <v>434</v>
      </c>
      <c r="R5" s="93" t="s">
        <v>143</v>
      </c>
      <c r="S5" s="95"/>
      <c r="T5" s="92" t="s">
        <v>434</v>
      </c>
      <c r="U5" s="96" t="s">
        <v>143</v>
      </c>
    </row>
    <row r="6" spans="1:21" s="52" customFormat="1" ht="63.75">
      <c r="A6" s="156">
        <v>0</v>
      </c>
      <c r="B6" s="136" t="str">
        <f t="array" ref="B6">IF(ROWS(B$6:B6)&lt;=$A$7,INDEX(Legislation!$C$5:$C$16,SMALL(IF(STAGE=0,IF(STATUS=0,ROW(STATUS)-ROW(Legislation!$E$5)+1)),ROWS(B$6:B6))),"")</f>
        <v/>
      </c>
      <c r="C6" s="87" t="str">
        <f>C7</f>
        <v>A case definition for human rabies is available</v>
      </c>
      <c r="D6" s="62"/>
      <c r="E6" s="136" t="str">
        <f>IF(ROWS(E$6:E6)&lt;=$D$7,INDEX('Data coll &amp; ax'!$C$5:$C$13,SMALL(IF(datastage=0,IF(datastatus=0,ROW(datastatus)-ROW('Data coll &amp; ax'!$E$5)+1)),ROWS(E$6:E6))),"")</f>
        <v/>
      </c>
      <c r="F6" s="87" t="s">
        <v>506</v>
      </c>
      <c r="G6" s="51"/>
      <c r="H6" s="141" t="str">
        <f t="array" ref="H6">IF(ROWS(H$6:H6)&lt;=$G$7,INDEX('Lab dx'!$C$5:$C$14,SMALL(IF(labstage=0,IF(labstatus=0,ROW(labstatus)-ROW('Lab dx'!$E$5)+1)),ROWS(H$6:H6))),"")</f>
        <v xml:space="preserve">Contacts to an international rabies reference laboratory or international collaborating/reference center are established </v>
      </c>
      <c r="I6" s="50" t="str">
        <f t="array" ref="I6">IF(ROWS(I$6:I6)&lt;=$G$8,INDEX('Lab dx'!$C$5:$C$14,SMALL(IF(labstage=0,IF(labstatus=1,ROW(labstatus)-ROW('Lab dx'!$F$5)+1)),ROWS(I$6:I6))),"")</f>
        <v/>
      </c>
      <c r="J6" s="51"/>
      <c r="K6" s="136" t="str">
        <f t="array" ref="K6">IF(ROWS(K$6:K6)&lt;=$J$7,INDEX(IEC!$C$5:$C$22,SMALL(IF(iecstage=0,IF(iecstatus=0,ROW(iecstatus)-ROW(IEC!$E$5)+1)),ROWS(K$6:K6))),"")</f>
        <v>Results of rabies samples are shared appropriately with local and national authorities</v>
      </c>
      <c r="L6" s="87" t="str">
        <f t="array" ref="L6">IF(ROWS(L$6:L6)&lt;=$J$8,INDEX(IEC!$C$5:$C$22,SMALL(IF(iecstage=0,IF(iecstatus=1,ROW(iecstatus)-ROW(IEC!$E$5)+1)),ROWS(L$6:L6))),"")</f>
        <v/>
      </c>
      <c r="M6" s="57"/>
      <c r="N6" s="141" t="str">
        <f t="array" ref="N6">IF(ROWS(N$6:N6)&lt;=$M$7,INDEX('Prev &amp; Ctrl'!$C$5:$C$28,SMALL(IF(prevstage=0,IF(prevstatus=0,ROW(prevstatus)-ROW('Prev &amp; Ctrl'!$E$5)+1)),ROWS(N$6:N6))),"")</f>
        <v/>
      </c>
      <c r="O6" s="50" t="str">
        <f t="array" ref="O6">IF(ROWS(O$6:O6)&lt;=$M$8,INDEX('Prev &amp; Ctrl'!$C$5:$C$28,SMALL(IF(prevstage=0,IF(prevstatus=1,ROW(prevstatus)-ROW('Prev &amp; Ctrl'!$E$5)+1)),ROWS(O$6:O6))),"")</f>
        <v/>
      </c>
      <c r="P6" s="51"/>
      <c r="Q6" s="136" t="str">
        <f t="array" ref="Q6">IF(ROWS(Q$6:Q6)&lt;=$P$7,INDEX('Dog popn'!$C$5:C7,SMALL(IF(dogstage=0,IF(dogstatus=0,ROW(dogstatus)-ROW('Dog popn'!$E$5)+1)),ROWS(Q$6:Q6))),"")</f>
        <v/>
      </c>
      <c r="R6" s="87" t="str">
        <f t="array" ref="R6">IF(ROWS(R$6:R6)&lt;=$P$8,INDEX('Dog popn'!$C$5:$C$7,SMALL(IF(dogstage=0,IF(dogstatus=1,ROW(dogstatus)-ROW('Dog popn'!$E$5)+1)),ROWS(R$6:R6))),"")</f>
        <v/>
      </c>
      <c r="S6" s="51"/>
      <c r="T6" s="141" t="str">
        <f t="array" ref="T6">IF(ROWS(T$6:T6)&lt;=$S$7,INDEX('Cross-cutting issues'!$C$5:$C$19,SMALL(IF(crossstage=0,IF(crossstatus=0,ROW(crossstatus)-ROW('Cross-cutting issues'!$E$5)+1)),ROWS(T$6:T6))),"")</f>
        <v/>
      </c>
      <c r="U6" s="50" t="str">
        <f t="array" ref="U6">IF(ROWS(U$6:U6)&lt;=$S$8,INDEX('Cross-cutting issues'!$C$5:$C$19,SMALL(IF(crossstage=0,IF(crossstatus=1,ROW(crossstatus)-ROW('Cross-cutting issues'!$E$5)+1)),ROWS(U$6:U6))),"")</f>
        <v/>
      </c>
    </row>
    <row r="7" spans="1:21" s="52" customFormat="1" ht="63.75">
      <c r="A7" s="146">
        <f>SUMPRODUCT((STAGE=0)*(STATUS=0))</f>
        <v>0</v>
      </c>
      <c r="B7" s="137" t="str">
        <f t="array" ref="B7">IF(ROWS(B$6:B7)&lt;=$A$7,INDEX(Legislation!$C$5:$C$16,SMALL(IF(STAGE=0,IF(STATUS=0,ROW(STATUS)-ROW(Legislation!$E$5)+1)),ROWS(B$6:B7))),"")</f>
        <v/>
      </c>
      <c r="C7" s="88" t="str">
        <f t="array" ref="C7">IF(ROWS(C$6:C7)&lt;=$A$8,INDEX(Legislation!$C$5:$C$16,SMALL(IF(STAGE=0,IF(STATUS=1,ROW(STATUS)-ROW(Legislation!$E$5)+1)),ROWS(C$6:C7))),"")</f>
        <v>A case definition for human rabies is available</v>
      </c>
      <c r="D7" s="63">
        <f>SUMPRODUCT((datastage=0)*(datastatus=0))</f>
        <v>0</v>
      </c>
      <c r="E7" s="137" t="str">
        <f>IF(ROWS(E$6:E7)&lt;=$D$7,INDEX('Data coll &amp; ax'!$C$5:$C$13,SMALL(IF(datastage=0,IF(datastatus=0,ROW(datastatus)-ROW('Data coll &amp; ax'!$E$5)+1)),ROWS(E$6:E7))),"")</f>
        <v/>
      </c>
      <c r="F7" s="88" t="str">
        <f>IF(ROWS(F$6:F7)&lt;=$D$8,INDEX('Data coll &amp; ax'!$C$5:$C$13,SMALL(IF(datastage=0,IF(datastatus=1,ROW(datastatus)-ROW('Data coll &amp; ax'!$E$5)+1)),ROWS(F$6:F7))),"")</f>
        <v/>
      </c>
      <c r="G7" s="54">
        <f>SUMPRODUCT((labstage=0)*(labstatus=0))</f>
        <v>2</v>
      </c>
      <c r="H7" s="142" t="str">
        <f t="array" ref="H7">IF(ROWS(H$6:H7)&lt;=$G$7,INDEX('Lab dx'!$C$5:$C$14,SMALL(IF(labstage=0,IF(labstatus=0,ROW(labstatus)-ROW('Lab dx'!$E$5)+1)),ROWS(H$6:H7))),"")</f>
        <v>Several rabies suspect sample of either animals or humans is submitted to an international rabies reference laboratory for confirmation</v>
      </c>
      <c r="I7" s="53" t="str">
        <f t="array" ref="I7">IF(ROWS(I$6:I7)&lt;=$G$8,INDEX('Lab dx'!$C$5:$C$14,SMALL(IF(labstage=0,IF(labstatus=1,ROW(labstatus)-ROW('Lab dx'!$F$5)+1)),ROWS(I$6:I7))),"")</f>
        <v/>
      </c>
      <c r="J7" s="54">
        <f>SUMPRODUCT((iecstage=0)*(iecstatus=0))</f>
        <v>1</v>
      </c>
      <c r="K7" s="138" t="str">
        <f t="array" ref="K7">IF(ROWS(K$6:K7)&lt;=$J$7,INDEX(IEC!$C$5:$C$22,SMALL(IF(iecstage=0,IF(iecstatus=0,ROW(iecstatus)-ROW(IEC!$E$5)+1)),ROWS(K$6:K7))),"")</f>
        <v/>
      </c>
      <c r="L7" s="88" t="str">
        <f t="array" ref="L7">IF(ROWS(L$6:L7)&lt;=$J$8,INDEX(IEC!$C$5:$C$22,SMALL(IF(iecstage=0,IF(iecstatus=1,ROW(iecstatus)-ROW(IEC!$E$5)+1)),ROWS(L$6:L7))),"")</f>
        <v/>
      </c>
      <c r="M7" s="58">
        <f>SUMPRODUCT((prevstage=0)*(prevstatus=0))</f>
        <v>0</v>
      </c>
      <c r="N7" s="142" t="str">
        <f t="array" ref="N7">IF(ROWS(N$6:N7)&lt;=$M$7,INDEX('Prev &amp; Ctrl'!$C$5:$C$28,SMALL(IF(prevstage=0,IF(prevstatus=0,ROW(prevstatus)-ROW('Prev &amp; Ctrl'!$E$5)+1)),ROWS(N$6:N7))),"")</f>
        <v/>
      </c>
      <c r="O7" s="53" t="str">
        <f t="array" ref="O7">IF(ROWS(O$6:O7)&lt;=$M$8,INDEX('Prev &amp; Ctrl'!$C$5:$C$28,SMALL(IF(prevstage=0,IF(prevstatus=1,ROW(prevstatus)-ROW('Prev &amp; Ctrl'!$E$5)+1)),ROWS(O$6:O7))),"")</f>
        <v/>
      </c>
      <c r="P7" s="54">
        <f>SUMPRODUCT((dogstage=0)*(dogstatus=0))</f>
        <v>0</v>
      </c>
      <c r="Q7" s="138" t="str">
        <f t="array" ref="Q7">IF(ROWS(Q$6:Q7)&lt;=$P$7,INDEX('Dog popn'!$C$5:C8,SMALL(IF(dogstage=0,IF(dogstatus=0,ROW(dogstatus)-ROW('Dog popn'!$E$5)+1)),ROWS(Q$6:Q7))),"")</f>
        <v/>
      </c>
      <c r="R7" s="88" t="str">
        <f t="array" ref="R7">IF(ROWS(R$6:R7)&lt;=$P$8,INDEX('Dog popn'!$C$5:$C$7,SMALL(IF(dogstage=0,IF(dogstatus=1,ROW(dogstatus)-ROW('Dog popn'!$E$5)+1)),ROWS(R$6:R7))),"")</f>
        <v/>
      </c>
      <c r="S7" s="54">
        <f>SUMPRODUCT((crossstage=0)*(crossstatus=0))</f>
        <v>0</v>
      </c>
      <c r="T7" s="142" t="str">
        <f t="array" ref="T7">IF(ROWS(T$6:T7)&lt;=$S$7,INDEX('Cross-cutting issues'!$C$5:$C$19,SMALL(IF(crossstage=0,IF(crossstatus=0,ROW(crossstatus)-ROW('Cross-cutting issues'!$E$5)+1)),ROWS(T$6:T7))),"")</f>
        <v/>
      </c>
      <c r="U7" s="53" t="str">
        <f t="array" ref="U7">IF(ROWS(U$6:U7)&lt;=$S$8,INDEX('Cross-cutting issues'!$C$5:$C$19,SMALL(IF(crossstage=0,IF(crossstatus=1,ROW(crossstatus)-ROW('Cross-cutting issues'!$E$5)+1)),ROWS(U$6:U7))),"")</f>
        <v/>
      </c>
    </row>
    <row r="8" spans="1:21" s="52" customFormat="1" ht="12.75">
      <c r="A8" s="146">
        <f>SUMPRODUCT((STAGE=0)*(STATUS=1))</f>
        <v>2</v>
      </c>
      <c r="B8" s="138" t="str">
        <f t="array" ref="B8">IF(ROWS(B$6:B8)&lt;=$A$7,INDEX(Legislation!$C$5:$C$16,SMALL(IF(STAGE=0,IF(STATUS=0,ROW(STATUS)-ROW(Legislation!$E$5)+1)),ROWS(B$6:B8))),"")</f>
        <v/>
      </c>
      <c r="C8" s="88" t="str">
        <f t="array" ref="C8">IF(ROWS(C$6:C8)&lt;=$A$8,INDEX(Legislation!$C$5:$C$16,SMALL(IF(STAGE=0,IF(STATUS=1,ROW(STATUS)-ROW(Legislation!$E$5)+1)),ROWS(C$6:C8))),"")</f>
        <v/>
      </c>
      <c r="D8" s="63">
        <f>SUMPRODUCT((datastage=0)*(datastatus=1))</f>
        <v>0</v>
      </c>
      <c r="E8" s="138" t="str">
        <f>IF(ROWS(E$6:E8)&lt;=$D$7,INDEX('Data coll &amp; ax'!$C$5:$C$13,SMALL(IF(datastage=0,IF(datastatus=0,ROW(datastatus)-ROW('Data coll &amp; ax'!$E$5)+1)),ROWS(E$6:E8))),"")</f>
        <v/>
      </c>
      <c r="F8" s="88" t="str">
        <f>IF(ROWS(F$6:F8)&lt;=$D$8,INDEX('Data coll &amp; ax'!$C$5:$C$13,SMALL(IF(datastage=0,IF(datastatus=1,ROW(datastatus)-ROW('Data coll &amp; ax'!$E$5)+1)),ROWS(F$6:F8))),"")</f>
        <v/>
      </c>
      <c r="G8" s="54">
        <f>SUMPRODUCT((labstage=0)*(labstatus=1))</f>
        <v>0</v>
      </c>
      <c r="H8" s="142" t="str">
        <f t="array" ref="H8">IF(ROWS(H$6:H8)&lt;=$G$7,INDEX('Lab dx'!$C$5:$C$14,SMALL(IF(labstage=0,IF(labstatus=0,ROW(labstatus)-ROW('Lab dx'!$E$5)+1)),ROWS(H$6:H8))),"")</f>
        <v/>
      </c>
      <c r="I8" s="53" t="str">
        <f t="array" ref="I8">IF(ROWS(I$6:I8)&lt;=$G$8,INDEX('Lab dx'!$C$5:$C$14,SMALL(IF(labstage=0,IF(labstatus=1,ROW(labstatus)-ROW('Lab dx'!$F$5)+1)),ROWS(I$6:I8))),"")</f>
        <v/>
      </c>
      <c r="J8" s="54">
        <f>SUMPRODUCT((iecstage=0)*(iecstatus=1))</f>
        <v>0</v>
      </c>
      <c r="K8" s="138" t="str">
        <f t="array" ref="K8">IF(ROWS(K$6:K8)&lt;=$J$7,INDEX(IEC!$C$5:$C$22,SMALL(IF(iecstage=0,IF(iecstatus=0,ROW(iecstatus)-ROW(IEC!$E$5)+1)),ROWS(K$6:K8))),"")</f>
        <v/>
      </c>
      <c r="L8" s="88" t="str">
        <f t="array" ref="L8">IF(ROWS(L$6:L8)&lt;=$J$8,INDEX(IEC!$C$5:$C$22,SMALL(IF(iecstage=0,IF(iecstatus=1,ROW(iecstatus)-ROW(IEC!$E$5)+1)),ROWS(L$6:L8))),"")</f>
        <v/>
      </c>
      <c r="M8" s="58">
        <f>SUMPRODUCT((prevstage=0)*(prevstatus=1))</f>
        <v>0</v>
      </c>
      <c r="N8" s="142" t="str">
        <f t="array" ref="N8">IF(ROWS(N$6:N8)&lt;=$M$7,INDEX('Prev &amp; Ctrl'!$C$5:$C$28,SMALL(IF(prevstage=0,IF(prevstatus=0,ROW(prevstatus)-ROW('Prev &amp; Ctrl'!$E$5)+1)),ROWS(N$6:N8))),"")</f>
        <v/>
      </c>
      <c r="O8" s="53" t="str">
        <f t="array" ref="O8">IF(ROWS(O$6:O8)&lt;=$M$8,INDEX('Prev &amp; Ctrl'!$C$5:$C$28,SMALL(IF(prevstage=0,IF(prevstatus=1,ROW(prevstatus)-ROW('Prev &amp; Ctrl'!$E$5)+1)),ROWS(O$6:O8))),"")</f>
        <v/>
      </c>
      <c r="P8" s="54">
        <f>SUMPRODUCT((dogstage=0)*(dogstatus=1))</f>
        <v>0</v>
      </c>
      <c r="Q8" s="138" t="str">
        <f t="array" ref="Q8">IF(ROWS(Q$6:Q8)&lt;=$P$7,INDEX('Dog popn'!$C$5:C9,SMALL(IF(dogstage=0,IF(dogstatus=0,ROW(dogstatus)-ROW('Dog popn'!$E$5)+1)),ROWS(Q$6:Q8))),"")</f>
        <v/>
      </c>
      <c r="R8" s="88" t="str">
        <f t="array" ref="R8">IF(ROWS(R$6:R8)&lt;=$P$8,INDEX('Dog popn'!$C$5:$C$7,SMALL(IF(dogstage=0,IF(dogstatus=1,ROW(dogstatus)-ROW('Dog popn'!$E$5)+1)),ROWS(R$6:R8))),"")</f>
        <v/>
      </c>
      <c r="S8" s="54">
        <f>SUMPRODUCT((crossstage=0)*(crossstatus=1))</f>
        <v>0</v>
      </c>
      <c r="T8" s="142" t="str">
        <f t="array" ref="T8">IF(ROWS(T$6:T8)&lt;=$S$7,INDEX('Cross-cutting issues'!$C$5:$C$19,SMALL(IF(crossstage=0,IF(crossstatus=0,ROW(crossstatus)-ROW('Cross-cutting issues'!$E$5)+1)),ROWS(T$6:T8))),"")</f>
        <v/>
      </c>
      <c r="U8" s="53" t="str">
        <f t="array" ref="U8">IF(ROWS(U$6:U8)&lt;=$S$8,INDEX('Cross-cutting issues'!$C$5:$C$19,SMALL(IF(crossstage=0,IF(crossstatus=1,ROW(crossstatus)-ROW('Cross-cutting issues'!$E$5)+1)),ROWS(U$6:U8))),"")</f>
        <v/>
      </c>
    </row>
    <row r="9" spans="1:21" s="52" customFormat="1" ht="12.75">
      <c r="A9" s="147"/>
      <c r="B9" s="138" t="str">
        <f t="array" ref="B9">IF(ROWS(B$6:B9)&lt;=$A$7,INDEX(Legislation!$C$5:$C$16,SMALL(IF(STAGE=0,IF(STATUS=0,ROW(STATUS)-ROW(Legislation!$E$5)+1)),ROWS(B$6:B9))),"")</f>
        <v/>
      </c>
      <c r="C9" s="88" t="str">
        <f t="array" ref="C9">IF(ROWS(C$6:C9)&lt;=$A$8,INDEX(Legislation!$C$5:$C$16,SMALL(IF(STAGE=0,IF(STATUS=1,ROW(STATUS)-ROW(Legislation!$E$5)+1)),ROWS(C$6:C9))),"")</f>
        <v/>
      </c>
      <c r="D9" s="63"/>
      <c r="E9" s="138" t="str">
        <f>IF(ROWS(E$6:E9)&lt;=$D$7,INDEX('Data coll &amp; ax'!$C$5:$C$13,SMALL(IF(datastage=0,IF(datastatus=0,ROW(datastatus)-ROW('Data coll &amp; ax'!$E$5)+1)),ROWS(E$6:E9))),"")</f>
        <v/>
      </c>
      <c r="F9" s="88" t="str">
        <f>IF(ROWS(F$6:F9)&lt;=$D$8,INDEX('Data coll &amp; ax'!$C$5:$C$13,SMALL(IF(datastage=0,IF(datastatus=1,ROW(datastatus)-ROW('Data coll &amp; ax'!$E$5)+1)),ROWS(F$6:F9))),"")</f>
        <v/>
      </c>
      <c r="G9" s="54"/>
      <c r="H9" s="142" t="str">
        <f t="array" ref="H9">IF(ROWS(H$6:H9)&lt;=$G$7,INDEX('Lab dx'!$C$5:$C$14,SMALL(IF(labstage=0,IF(labstatus=0,ROW(labstatus)-ROW('Lab dx'!$E$5)+1)),ROWS(H$6:H9))),"")</f>
        <v/>
      </c>
      <c r="I9" s="53" t="str">
        <f t="array" ref="I9">IF(ROWS(I$6:I9)&lt;=$G$8,INDEX('Lab dx'!$C$5:$C$14,SMALL(IF(labstage=0,IF(labstatus=1,ROW(labstatus)-ROW('Lab dx'!$F$5)+1)),ROWS(I$6:I9))),"")</f>
        <v/>
      </c>
      <c r="J9" s="54"/>
      <c r="K9" s="138" t="str">
        <f t="array" ref="K9">IF(ROWS(K$6:K9)&lt;=$J$7,INDEX(IEC!$C$5:$C$22,SMALL(IF(iecstage=0,IF(iecstatus=0,ROW(iecstatus)-ROW(IEC!$E$5)+1)),ROWS(K$6:K9))),"")</f>
        <v/>
      </c>
      <c r="L9" s="88" t="str">
        <f t="array" ref="L9">IF(ROWS(L$6:L9)&lt;=$J$8,INDEX(IEC!$C$5:$C$22,SMALL(IF(iecstage=0,IF(iecstatus=1,ROW(iecstatus)-ROW(IEC!$E$5)+1)),ROWS(L$6:L9))),"")</f>
        <v/>
      </c>
      <c r="M9" s="58"/>
      <c r="N9" s="142" t="str">
        <f t="array" ref="N9">IF(ROWS(N$6:N9)&lt;=$M$7,INDEX('Prev &amp; Ctrl'!$C$5:$C$28,SMALL(IF(prevstage=0,IF(prevstatus=0,ROW(prevstatus)-ROW('Prev &amp; Ctrl'!$E$5)+1)),ROWS(N$6:N9))),"")</f>
        <v/>
      </c>
      <c r="O9" s="53" t="str">
        <f t="array" ref="O9">IF(ROWS(O$6:O9)&lt;=$M$8,INDEX('Prev &amp; Ctrl'!$C$5:$C$28,SMALL(IF(prevstage=0,IF(prevstatus=1,ROW(prevstatus)-ROW('Prev &amp; Ctrl'!$E$5)+1)),ROWS(O$6:O9))),"")</f>
        <v/>
      </c>
      <c r="P9" s="54"/>
      <c r="Q9" s="138" t="str">
        <f t="array" ref="Q9">IF(ROWS(Q$6:Q9)&lt;=$P$7,INDEX('Dog popn'!$C$5:C10,SMALL(IF(dogstage=0,IF(dogstatus=0,ROW(dogstatus)-ROW('Dog popn'!$E$5)+1)),ROWS(Q$6:Q9))),"")</f>
        <v/>
      </c>
      <c r="R9" s="88" t="str">
        <f t="array" ref="R9">IF(ROWS(R$6:R9)&lt;=$P$8,INDEX('Dog popn'!$C$5:$C$7,SMALL(IF(dogstage=0,IF(dogstatus=1,ROW(dogstatus)-ROW('Dog popn'!$E$5)+1)),ROWS(R$6:R9))),"")</f>
        <v/>
      </c>
      <c r="S9" s="54"/>
      <c r="T9" s="142" t="str">
        <f t="array" ref="T9">IF(ROWS(T$6:T9)&lt;=$S$7,INDEX('Cross-cutting issues'!$C$5:$C$19,SMALL(IF(crossstage=0,IF(crossstatus=0,ROW(crossstatus)-ROW('Cross-cutting issues'!$E$5)+1)),ROWS(T$6:T9))),"")</f>
        <v/>
      </c>
      <c r="U9" s="53" t="str">
        <f t="array" ref="U9">IF(ROWS(U$6:U9)&lt;=$S$8,INDEX('Cross-cutting issues'!$C$5:$C$19,SMALL(IF(crossstage=0,IF(crossstatus=1,ROW(crossstatus)-ROW('Cross-cutting issues'!$E$5)+1)),ROWS(U$6:U9))),"")</f>
        <v/>
      </c>
    </row>
    <row r="10" spans="1:21" s="52" customFormat="1" ht="12.75">
      <c r="A10" s="148"/>
      <c r="B10" s="139" t="str">
        <f t="array" ref="B10">IF(ROWS(B$6:B10)&lt;=$A$7,INDEX(Legislation!$C$5:$C$16,SMALL(IF(STAGE=0,IF(STATUS=0,ROW(STATUS)-ROW(Legislation!$E$5)+1)),ROWS(B$6:B10))),"")</f>
        <v/>
      </c>
      <c r="C10" s="89" t="str">
        <f t="array" ref="C10">IF(ROWS(C$6:C10)&lt;=$A$8,INDEX(Legislation!$C$5:$C$16,SMALL(IF(STAGE=0,IF(STATUS=1,ROW(STATUS)-ROW(Legislation!$E$5)+1)),ROWS(C$6:C10))),"")</f>
        <v/>
      </c>
      <c r="D10" s="64"/>
      <c r="E10" s="139" t="str">
        <f>IF(ROWS(E$6:E10)&lt;=$D$7,INDEX('Data coll &amp; ax'!$C$5:$C$13,SMALL(IF(datastage=0,IF(datastatus=0,ROW(datastatus)-ROW('Data coll &amp; ax'!$E$5)+1)),ROWS(E$6:E10))),"")</f>
        <v/>
      </c>
      <c r="F10" s="89" t="str">
        <f>IF(ROWS(F$6:F10)&lt;=$D$8,INDEX('Data coll &amp; ax'!$C$5:$C$13,SMALL(IF(datastage=0,IF(datastatus=1,ROW(datastatus)-ROW('Data coll &amp; ax'!$E$5)+1)),ROWS(F$6:F10))),"")</f>
        <v/>
      </c>
      <c r="G10" s="56"/>
      <c r="H10" s="143" t="str">
        <f t="array" ref="H10">IF(ROWS(H$6:H10)&lt;=$G$7,INDEX('Lab dx'!$C$5:$C$14,SMALL(IF(labstage=0,IF(labstatus=0,ROW(labstatus)-ROW('Lab dx'!$E$5)+1)),ROWS(H$6:H10))),"")</f>
        <v/>
      </c>
      <c r="I10" s="55" t="str">
        <f t="array" ref="I10">IF(ROWS(I$6:I10)&lt;=$G$8,INDEX('Lab dx'!$C$5:$C$14,SMALL(IF(labstage=0,IF(labstatus=1,ROW(labstatus)-ROW('Lab dx'!$F$5)+1)),ROWS(I$6:I10))),"")</f>
        <v/>
      </c>
      <c r="J10" s="56"/>
      <c r="K10" s="139" t="str">
        <f t="array" ref="K10">IF(ROWS(K$6:K10)&lt;=$J$7,INDEX(IEC!$C$5:$C$22,SMALL(IF(iecstage=0,IF(iecstatus=0,ROW(iecstatus)-ROW(IEC!$E$5)+1)),ROWS(K$6:K10))),"")</f>
        <v/>
      </c>
      <c r="L10" s="89" t="str">
        <f t="array" ref="L10">IF(ROWS(L$6:L10)&lt;=$J$8,INDEX(IEC!$C$5:$C$22,SMALL(IF(iecstage=0,IF(iecstatus=1,ROW(iecstatus)-ROW(IEC!$E$5)+1)),ROWS(L$6:L10))),"")</f>
        <v/>
      </c>
      <c r="M10" s="59"/>
      <c r="N10" s="143" t="str">
        <f t="array" ref="N10">IF(ROWS(N$6:N10)&lt;=$M$7,INDEX('Prev &amp; Ctrl'!$C$5:$C$28,SMALL(IF(prevstage=0,IF(prevstatus=0,ROW(prevstatus)-ROW('Prev &amp; Ctrl'!$E$5)+1)),ROWS(N$6:N10))),"")</f>
        <v/>
      </c>
      <c r="O10" s="55" t="str">
        <f t="array" ref="O10">IF(ROWS(O$6:O10)&lt;=$M$8,INDEX('Prev &amp; Ctrl'!$C$5:$C$28,SMALL(IF(prevstage=0,IF(prevstatus=1,ROW(prevstatus)-ROW('Prev &amp; Ctrl'!$E$5)+1)),ROWS(O$6:O10))),"")</f>
        <v/>
      </c>
      <c r="P10" s="56"/>
      <c r="Q10" s="139" t="str">
        <f t="array" ref="Q10">IF(ROWS(Q$6:Q10)&lt;=$P$7,INDEX('Dog popn'!$C$5:C11,SMALL(IF(dogstage=0,IF(dogstatus=0,ROW(dogstatus)-ROW('Dog popn'!$E$5)+1)),ROWS(Q$6:Q10))),"")</f>
        <v/>
      </c>
      <c r="R10" s="89" t="str">
        <f t="array" ref="R10">IF(ROWS(R$6:R10)&lt;=$P$8,INDEX('Dog popn'!$C$5:$C$7,SMALL(IF(dogstage=0,IF(dogstatus=1,ROW(dogstatus)-ROW('Dog popn'!$E$5)+1)),ROWS(R$6:R10))),"")</f>
        <v/>
      </c>
      <c r="S10" s="56"/>
      <c r="T10" s="143" t="str">
        <f t="array" ref="T10">IF(ROWS(T$6:T10)&lt;=$S$7,INDEX('Cross-cutting issues'!$C$5:$C$19,SMALL(IF(crossstage=0,IF(crossstatus=0,ROW(crossstatus)-ROW('Cross-cutting issues'!$E$5)+1)),ROWS(T$6:T10))),"")</f>
        <v/>
      </c>
      <c r="U10" s="55" t="str">
        <f t="array" ref="U10">IF(ROWS(U$6:U10)&lt;=$S$8,INDEX('Cross-cutting issues'!$C$5:$C$19,SMALL(IF(crossstage=0,IF(crossstatus=1,ROW(crossstatus)-ROW('Cross-cutting issues'!$E$5)+1)),ROWS(U$6:U10))),"")</f>
        <v/>
      </c>
    </row>
    <row r="11" spans="1:21" s="52" customFormat="1" ht="51">
      <c r="A11" s="156">
        <v>1</v>
      </c>
      <c r="B11" s="140" t="str">
        <f t="array" ref="B11">IF(ROWS(B$11:B11)&lt;=$A$12,INDEX(Legislation!$C$5:$C$16,SMALL(IF(STAGE=1,IF(STATUS=0,ROW(STATUS)-ROW(Legislation!$E$5)+1)),ROWS(B$11:B11))),"")</f>
        <v>The animal rabies case definition has been disseminated to relevant professionals</v>
      </c>
      <c r="C11" s="87" t="str">
        <f t="array" ref="C11">IF(ROWS(C$11:C11)&lt;=$A$13,INDEX(Legislation!$C$5:$C$16,SMALL(IF(STAGE=1,IF(STATUS=1,ROW(STATUS)-ROW(Legislation!$E$5)+1)),ROWS(C$11:C11))),"")</f>
        <v>The human rabies case definition has been disseminated to relevant professionals</v>
      </c>
      <c r="D11" s="65"/>
      <c r="E11" s="136" t="str">
        <f t="array" ref="E11">IF(ROWS(E$11:E11)&lt;=$D$12,INDEX('Data coll &amp; ax'!$C$5:$C$13,SMALL(IF(datastage=1,IF(datastatus=0,ROW(datastatus)-ROW('Data coll &amp; ax'!$E$5)+1)),ROWS(E$11:E11))),"")</f>
        <v>Rabies exposure (dog bite) reporting and documentation have been reviewed and data compiled</v>
      </c>
      <c r="F11" s="87" t="str">
        <f t="array" ref="F11">IF(ROWS(F$11:F11)&lt;=$D$13,INDEX('Data coll &amp; ax'!$C$5:$C$13,SMALL(IF(datastage=1,IF(datastatus=1,ROW(datastatus)-ROW('Data coll &amp; ax'!$E$5)+1)),ROWS(F$11:F11))),"")</f>
        <v>Reporting of dog rabies from local to national level and data analysis capacity at the national level has been established</v>
      </c>
      <c r="G11" s="51"/>
      <c r="H11" s="141" t="str">
        <f t="array" ref="H11">IF(ROWS(H$11:H11)&lt;=$G$12,INDEX('Lab dx'!$C$5:$C$14,SMALL(IF(labstage=1,IF(labstatus=0,ROW(labstatus)-ROW('Lab dx'!$E$5)+1)),ROWS(H$11:H11))),"")</f>
        <v>Rabies diagnostic capacity has been established in at least one national laboratory</v>
      </c>
      <c r="I11" s="50" t="str">
        <f t="array" ref="I11">IF(ROWS(I$11:I11)&lt;=$G$13,INDEX('Lab dx'!$C$5:$C$14,SMALL(IF(labstage=1,IF(labstatus=1,ROW(labstatus)-ROW('Lab dx'!$F$5)+1)),ROWS(I$11:I11))),"")</f>
        <v/>
      </c>
      <c r="J11" s="51"/>
      <c r="K11" s="136" t="str">
        <f t="array" ref="K11">IF(ROWS(K$11:K11)&lt;=$J$12,INDEX(IEC!$C$5:$C$22,SMALL(IF(iecstage=1,IF(iecstatus=0,ROW(iecstatus)-ROW(IEC!$E$5)+1)),ROWS(K$11:K11))),"")</f>
        <v>Vaccination of domestic dogs is promoted and conducted</v>
      </c>
      <c r="L11" s="87" t="str">
        <f t="array" ref="L11">IF(ROWS(L$11:L11)&lt;=$J$13,INDEX(IEC!$C$5:$C$22,SMALL(IF(iecstage=1,IF(iecstatus=1,ROW(iecstatus)-ROW(IEC!$E$5)+1)),ROWS(L$11:L11))),"")</f>
        <v>Studies on Knowledge, Attitude and Practice (KAP survey) on rabies have been conducted in pilot areas</v>
      </c>
      <c r="M11" s="57"/>
      <c r="N11" s="141" t="str">
        <f t="array" ref="N11">IF(ROWS(N$11:N11)&lt;=$M$12,INDEX('Prev &amp; Ctrl'!$C$5:$C$28,SMALL(IF(prevstage=1,IF(prevstatus=0,ROW(prevstatus)-ROW('Prev &amp; Ctrl'!$E$5)+1)),ROWS(N$11:N11))),"")</f>
        <v>Dog rabies vaccines available and access has been scaled up</v>
      </c>
      <c r="O11" s="50" t="str">
        <f t="array" ref="O11">IF(ROWS(O$11:O11)&lt;=$M$13,INDEX('Prev &amp; Ctrl'!$C$5:$C$28,SMALL(IF(prevstage=1,IF(prevstatus=1,ROW(prevstatus)-ROW('Prev &amp; Ctrl'!$E$5)+1)),ROWS(O$11:O11))),"")</f>
        <v>Vaccines and biologics for human rabies prophylaxis are available in the country</v>
      </c>
      <c r="P11" s="51"/>
      <c r="Q11" s="136" t="str">
        <f t="array" ref="Q11">IF(ROWS(Q$11:Q11)&lt;=$P$12,INDEX('Dog popn'!$C$5:C12,SMALL(IF(dogstage=1,IF(dogstatus=0,ROW(dogstatus)-ROW('Dog popn'!$E$5)+1)),ROWS(Q$11:Q11))),"")</f>
        <v/>
      </c>
      <c r="R11" s="87" t="str">
        <f t="array" ref="R11">IF(ROWS(R$11:R11)&lt;=$P$13,INDEX('Dog popn'!$C$5:$C$7,SMALL(IF(dogstage=1,IF(dogstatus=1,ROW(dogstatus)-ROW('Dog popn'!$E$5)+1)),ROWS(R$11:R11))),"")</f>
        <v>Dog population studies to determine size, turn-over and accessibility have been conducted in pilot areas</v>
      </c>
      <c r="S11" s="51"/>
      <c r="T11" s="141" t="str">
        <f t="array" ref="T11">IF(ROWS(T$11:T11)&lt;=$S$12,INDEX('Cross-cutting issues'!$C$5:$C$19,SMALL(IF(crossstage=1,IF(crossstatus=0,ROW(crossstatus)-ROW('Cross-cutting issues'!$E$5)+1)),ROWS(T$11:T11))),"")</f>
        <v>Intersectoral rabies task force, committee or working group established</v>
      </c>
      <c r="U11" s="50" t="str">
        <f t="array" ref="U11">IF(ROWS(U$11:U11)&lt;=$S$13,INDEX('Cross-cutting issues'!$C$5:$C$19,SMALL(IF(crossstage=1,IF(crossstatus=1,ROW(crossstatus)-ROW('Cross-cutting issues'!$E$5)+1)),ROWS(U$11:U11))),"")</f>
        <v>Identification of main national stakeholders in rabies prevention and control has been carried out</v>
      </c>
    </row>
    <row r="12" spans="1:21" s="52" customFormat="1" ht="63.75">
      <c r="A12" s="149">
        <f>SUMPRODUCT((STAGE=1)*(STATUS=0))</f>
        <v>6</v>
      </c>
      <c r="B12" s="140" t="str">
        <f t="array" ref="B12">IF(ROWS(B$11:B12)&lt;=$A$12,INDEX(Legislation!$C$5:$C$16,SMALL(IF(STAGE=1,IF(STATUS=0,ROW(STATUS)-ROW(Legislation!$E$5)+1)),ROWS(B$11:B12))),"")</f>
        <v>There is a legal framework</v>
      </c>
      <c r="C12" s="88" t="str">
        <f t="array" ref="C12">IF(ROWS(C$11:C12)&lt;=$A$13,INDEX(Legislation!$C$5:$C$16,SMALL(IF(STAGE=1,IF(STATUS=1,ROW(STATUS)-ROW(Legislation!$E$5)+1)),ROWS(C$11:C12))),"")</f>
        <v/>
      </c>
      <c r="D12" s="60">
        <f>SUMPRODUCT((datastage=1)*(datastatus=0))</f>
        <v>1</v>
      </c>
      <c r="E12" s="138" t="str">
        <f t="array" ref="E12">IF(ROWS(E$11:E12)&lt;=$D$12,INDEX('Data coll &amp; ax'!$C$5:$C$13,SMALL(IF(datastage=1,IF(datastatus=0,ROW(datastatus)-ROW('Data coll &amp; ax'!$E$5)+1)),ROWS(E$11:E12))),"")</f>
        <v/>
      </c>
      <c r="F12" s="88" t="str">
        <f t="array" ref="F12">IF(ROWS(F$11:F12)&lt;=$D$13,INDEX('Data coll &amp; ax'!$C$5:$C$13,SMALL(IF(datastage=1,IF(datastatus=1,ROW(datastatus)-ROW('Data coll &amp; ax'!$E$5)+1)),ROWS(F$11:F12))),"")</f>
        <v>Reporting of human rabies from local to national level and data analysis capacity at the national level has been established</v>
      </c>
      <c r="G12" s="54">
        <f>SUMPRODUCT((labstage=1)*(labstatus=0))</f>
        <v>1</v>
      </c>
      <c r="H12" s="142" t="str">
        <f t="array" ref="H12">IF(ROWS(H$11:H12)&lt;=$G$12,INDEX('Lab dx'!$C$5:$C$14,SMALL(IF(labstage=1,IF(labstatus=0,ROW(labstatus)-ROW('Lab dx'!$E$5)+1)),ROWS(H$11:H12))),"")</f>
        <v/>
      </c>
      <c r="I12" s="53" t="str">
        <f t="array" ref="I12">IF(ROWS(I$11:I12)&lt;=$G$13,INDEX('Lab dx'!$C$5:$C$14,SMALL(IF(labstage=1,IF(labstatus=1,ROW(labstatus)-ROW('Lab dx'!$F$5)+1)),ROWS(I$11:I12))),"")</f>
        <v/>
      </c>
      <c r="J12" s="54">
        <f>SUMPRODUCT((iecstage=1)*(iecstatus=0))</f>
        <v>3</v>
      </c>
      <c r="K12" s="138" t="str">
        <f t="array" ref="K12">IF(ROWS(K$11:K12)&lt;=$J$12,INDEX(IEC!$C$5:$C$22,SMALL(IF(iecstage=1,IF(iecstatus=0,ROW(iecstatus)-ROW(IEC!$E$5)+1)),ROWS(K$11:K12))),"")</f>
        <v>Responsible dog ownership and vaccination of both owned and ownerless dogs have been promoted</v>
      </c>
      <c r="L12" s="88" t="str">
        <f t="array" ref="L12">IF(ROWS(L$11:L12)&lt;=$J$13,INDEX(IEC!$C$5:$C$22,SMALL(IF(iecstage=1,IF(iecstatus=1,ROW(iecstatus)-ROW(IEC!$E$5)+1)),ROWS(L$11:L12))),"")</f>
        <v>A rabies communication plan has been developed</v>
      </c>
      <c r="M12" s="58">
        <f>SUMPRODUCT((prevstage=1)*(prevstatus=0))</f>
        <v>1</v>
      </c>
      <c r="N12" s="142" t="str">
        <f t="array" ref="N12">IF(ROWS(N$11:N12)&lt;=$M$12,INDEX('Prev &amp; Ctrl'!$C$5:$C$28,SMALL(IF(prevstage=1,IF(prevstatus=0,ROW(prevstatus)-ROW('Prev &amp; Ctrl'!$E$5)+1)),ROWS(N$11:N12))),"")</f>
        <v/>
      </c>
      <c r="O12" s="53" t="str">
        <f t="array" ref="O12">IF(ROWS(O$11:O12)&lt;=$M$13,INDEX('Prev &amp; Ctrl'!$C$5:$C$28,SMALL(IF(prevstage=1,IF(prevstatus=1,ROW(prevstatus)-ROW('Prev &amp; Ctrl'!$E$5)+1)),ROWS(O$11:O12))),"")</f>
        <v>Distribution of functional rabies treatment centers in the country (e.g. recording number of patients per day, number of doses currently used)</v>
      </c>
      <c r="P12" s="54">
        <f>SUMPRODUCT((dogstage=1)*(dogstatus=0))</f>
        <v>0</v>
      </c>
      <c r="Q12" s="138" t="str">
        <f t="array" ref="Q12">IF(ROWS(Q$11:Q12)&lt;=$P$12,INDEX('Dog popn'!$C$5:C13,SMALL(IF(dogstage=1,IF(dogstatus=0,ROW(dogstatus)-ROW('Dog popn'!$E$5)+1)),ROWS(Q$11:Q12))),"")</f>
        <v/>
      </c>
      <c r="R12" s="88" t="str">
        <f t="array" ref="R12">IF(ROWS(R$11:R12)&lt;=$P$13,INDEX('Dog popn'!$C$5:$C$7,SMALL(IF(dogstage=1,IF(dogstatus=1,ROW(dogstatus)-ROW('Dog popn'!$E$5)+1)),ROWS(R$11:R12))),"")</f>
        <v/>
      </c>
      <c r="S12" s="54">
        <f>SUMPRODUCT((crossstage=1)*(crossstatus=0))</f>
        <v>3</v>
      </c>
      <c r="T12" s="142" t="str">
        <f t="array" ref="T12">IF(ROWS(T$11:T12)&lt;=$S$12,INDEX('Cross-cutting issues'!$C$5:$C$19,SMALL(IF(crossstage=1,IF(crossstatus=0,ROW(crossstatus)-ROW('Cross-cutting issues'!$E$5)+1)),ROWS(T$11:T12))),"")</f>
        <v>Based from pilot area experience, a short term rabies action plan has been elaborated and endorsed by relevant stakeholders at national and local levels</v>
      </c>
      <c r="U12" s="53" t="str">
        <f t="array" ref="U12">IF(ROWS(U$11:U12)&lt;=$S$13,INDEX('Cross-cutting issues'!$C$5:$C$19,SMALL(IF(crossstage=1,IF(crossstatus=1,ROW(crossstatus)-ROW('Cross-cutting issues'!$E$5)+1)),ROWS(U$11:U12))),"")</f>
        <v>Stakeholder consultations held</v>
      </c>
    </row>
    <row r="13" spans="1:21" s="52" customFormat="1" ht="51">
      <c r="A13" s="149">
        <f>SUMPRODUCT((STAGE=1)*(STATUS=1))</f>
        <v>1</v>
      </c>
      <c r="B13" s="140" t="str">
        <f t="array" ref="B13">IF(ROWS(B$11:B13)&lt;=$A$12,INDEX(Legislation!$C$5:$C$16,SMALL(IF(STAGE=1,IF(STATUS=0,ROW(STATUS)-ROW(Legislation!$E$5)+1)),ROWS(B$11:B13))),"")</f>
        <v xml:space="preserve">If there is a legal framework, the framework has been reviewed in terms of how current it is.  </v>
      </c>
      <c r="C13" s="88" t="str">
        <f t="array" ref="C13">IF(ROWS(C$11:C13)&lt;=$A$13,INDEX(Legislation!$C$5:$C$16,SMALL(IF(STAGE=1,IF(STATUS=1,ROW(STATUS)-ROW(Legislation!$E$5)+1)),ROWS(C$11:C13))),"")</f>
        <v/>
      </c>
      <c r="D13" s="60">
        <f>SUMPRODUCT((datastage=1)*(datastatus=1))</f>
        <v>2</v>
      </c>
      <c r="E13" s="138" t="str">
        <f t="array" ref="E13">IF(ROWS(E$11:E13)&lt;=$D$12,INDEX('Data coll &amp; ax'!$C$5:$C$13,SMALL(IF(datastage=1,IF(datastatus=0,ROW(datastatus)-ROW('Data coll &amp; ax'!$E$5)+1)),ROWS(E$11:E13))),"")</f>
        <v/>
      </c>
      <c r="F13" s="88" t="str">
        <f t="array" ref="F13">IF(ROWS(F$11:F13)&lt;=$D$13,INDEX('Data coll &amp; ax'!$C$5:$C$13,SMALL(IF(datastage=1,IF(datastatus=1,ROW(datastatus)-ROW('Data coll &amp; ax'!$E$5)+1)),ROWS(F$11:F13))),"")</f>
        <v/>
      </c>
      <c r="G13" s="54">
        <f>SUMPRODUCT((labstage=1)*(labstatus=1))</f>
        <v>0</v>
      </c>
      <c r="H13" s="142" t="str">
        <f t="array" ref="H13">IF(ROWS(H$11:H13)&lt;=$G$12,INDEX('Lab dx'!$C$5:$C$14,SMALL(IF(labstage=1,IF(labstatus=0,ROW(labstatus)-ROW('Lab dx'!$E$5)+1)),ROWS(H$11:H13))),"")</f>
        <v/>
      </c>
      <c r="I13" s="53" t="str">
        <f t="array" ref="I13">IF(ROWS(I$11:I13)&lt;=$G$13,INDEX('Lab dx'!$C$5:$C$14,SMALL(IF(labstage=1,IF(labstatus=1,ROW(labstatus)-ROW('Lab dx'!$F$5)+1)),ROWS(I$11:I13))),"")</f>
        <v/>
      </c>
      <c r="J13" s="54">
        <f>SUMPRODUCT((iecstage=1)*(iecstatus=1))</f>
        <v>5</v>
      </c>
      <c r="K13" s="138" t="str">
        <f t="array" ref="K13">IF(ROWS(K$11:K13)&lt;=$J$12,INDEX(IEC!$C$5:$C$22,SMALL(IF(iecstage=1,IF(iecstatus=0,ROW(iecstatus)-ROW(IEC!$E$5)+1)),ROWS(K$11:K13))),"")</f>
        <v>Plans for training of trainers, refresher courses on rabies for professionals in human and animal health have been developed</v>
      </c>
      <c r="L13" s="88" t="str">
        <f t="array" ref="L13">IF(ROWS(L$11:L13)&lt;=$J$13,INDEX(IEC!$C$5:$C$22,SMALL(IF(iecstage=1,IF(iecstatus=1,ROW(iecstatus)-ROW(IEC!$E$5)+1)),ROWS(L$11:L13))),"")</f>
        <v>Public awareness campaigns have been initiated</v>
      </c>
      <c r="M13" s="58">
        <f>SUMPRODUCT((prevstage=1)*(prevstatus=1))</f>
        <v>3</v>
      </c>
      <c r="N13" s="142" t="str">
        <f t="array" ref="N13">IF(ROWS(N$11:N13)&lt;=$M$12,INDEX('Prev &amp; Ctrl'!$C$5:$C$28,SMALL(IF(prevstage=1,IF(prevstatus=0,ROW(prevstatus)-ROW('Prev &amp; Ctrl'!$E$5)+1)),ROWS(N$11:N13))),"")</f>
        <v/>
      </c>
      <c r="O13" s="53" t="str">
        <f t="array" ref="O13">IF(ROWS(O$11:O13)&lt;=$M$13,INDEX('Prev &amp; Ctrl'!$C$5:$C$28,SMALL(IF(prevstage=1,IF(prevstatus=1,ROW(prevstatus)-ROW('Prev &amp; Ctrl'!$E$5)+1)),ROWS(O$11:O13))),"")</f>
        <v>Organization of rabies control activities (at least in pilot areas) have been conducted</v>
      </c>
      <c r="P13" s="54">
        <f>SUMPRODUCT((dogstage=1)*(dogstatus=1))</f>
        <v>1</v>
      </c>
      <c r="Q13" s="138" t="str">
        <f t="array" ref="Q13">IF(ROWS(Q$11:Q13)&lt;=$P$12,INDEX('Dog popn'!$C$5:C14,SMALL(IF(dogstage=1,IF(dogstatus=0,ROW(dogstatus)-ROW('Dog popn'!$E$5)+1)),ROWS(Q$11:Q13))),"")</f>
        <v/>
      </c>
      <c r="R13" s="88" t="str">
        <f t="array" ref="R13">IF(ROWS(R$11:R13)&lt;=$P$13,INDEX('Dog popn'!$C$5:$C$7,SMALL(IF(dogstage=1,IF(dogstatus=1,ROW(dogstatus)-ROW('Dog popn'!$E$5)+1)),ROWS(R$11:R13))),"")</f>
        <v/>
      </c>
      <c r="S13" s="54">
        <f>SUMPRODUCT((crossstage=1)*(crossstatus=1))</f>
        <v>2</v>
      </c>
      <c r="T13" s="142" t="str">
        <f t="array" ref="T13">IF(ROWS(T$11:T13)&lt;=$S$12,INDEX('Cross-cutting issues'!$C$5:$C$19,SMALL(IF(crossstage=1,IF(crossstatus=0,ROW(crossstatus)-ROW('Cross-cutting issues'!$E$5)+1)),ROWS(T$11:T13))),"")</f>
        <v>Mechanisms for mobilizing emergency funds in case of an outbreak have been identified</v>
      </c>
      <c r="U13" s="53" t="str">
        <f t="array" ref="U13">IF(ROWS(U$11:U13)&lt;=$S$13,INDEX('Cross-cutting issues'!$C$5:$C$19,SMALL(IF(crossstage=1,IF(crossstatus=1,ROW(crossstatus)-ROW('Cross-cutting issues'!$E$5)+1)),ROWS(U$11:U13))),"")</f>
        <v/>
      </c>
    </row>
    <row r="14" spans="1:21" s="52" customFormat="1" ht="63.75">
      <c r="A14" s="150"/>
      <c r="B14" s="140" t="str">
        <f t="array" ref="B14">IF(ROWS(B$11:B14)&lt;=$A$12,INDEX(Legislation!$C$5:$C$16,SMALL(IF(STAGE=1,IF(STATUS=0,ROW(STATUS)-ROW(Legislation!$E$5)+1)),ROWS(B$11:B14))),"")</f>
        <v>Rabies is defined as a notifiable disease in humans and animals in the framework</v>
      </c>
      <c r="C14" s="88" t="str">
        <f t="array" ref="C14">IF(ROWS(C$11:C14)&lt;=$A$13,INDEX(Legislation!$C$5:$C$16,SMALL(IF(STAGE=1,IF(STATUS=1,ROW(STATUS)-ROW(Legislation!$E$5)+1)),ROWS(C$11:C14))),"")</f>
        <v/>
      </c>
      <c r="D14" s="60"/>
      <c r="E14" s="138" t="str">
        <f t="array" ref="E14">IF(ROWS(E$11:E14)&lt;=$D$12,INDEX('Data coll &amp; ax'!$C$5:$C$13,SMALL(IF(datastage=1,IF(datastatus=0,ROW(datastatus)-ROW('Data coll &amp; ax'!$E$5)+1)),ROWS(E$11:E14))),"")</f>
        <v/>
      </c>
      <c r="F14" s="88" t="str">
        <f t="array" ref="F14">IF(ROWS(F$11:F14)&lt;=$D$13,INDEX('Data coll &amp; ax'!$C$5:$C$13,SMALL(IF(datastage=1,IF(datastatus=1,ROW(datastatus)-ROW('Data coll &amp; ax'!$E$5)+1)),ROWS(F$11:F14))),"")</f>
        <v/>
      </c>
      <c r="G14" s="54"/>
      <c r="H14" s="142" t="str">
        <f t="array" ref="H14">IF(ROWS(H$11:H14)&lt;=$G$12,INDEX('Lab dx'!$C$5:$C$14,SMALL(IF(labstage=1,IF(labstatus=0,ROW(labstatus)-ROW('Lab dx'!$E$5)+1)),ROWS(H$11:H14))),"")</f>
        <v/>
      </c>
      <c r="I14" s="53" t="str">
        <f t="array" ref="I14">IF(ROWS(I$11:I14)&lt;=$G$13,INDEX('Lab dx'!$C$5:$C$14,SMALL(IF(labstage=1,IF(labstatus=1,ROW(labstatus)-ROW('Lab dx'!$F$5)+1)),ROWS(I$11:I14))),"")</f>
        <v/>
      </c>
      <c r="J14" s="54"/>
      <c r="K14" s="138" t="str">
        <f t="array" ref="K14">IF(ROWS(K$11:K14)&lt;=$J$12,INDEX(IEC!$C$5:$C$22,SMALL(IF(iecstage=1,IF(iecstatus=0,ROW(iecstatus)-ROW(IEC!$E$5)+1)),ROWS(K$11:K14))),"")</f>
        <v/>
      </c>
      <c r="L14" s="88" t="str">
        <f t="array" ref="L14">IF(ROWS(L$11:L14)&lt;=$J$13,INDEX(IEC!$C$5:$C$22,SMALL(IF(iecstage=1,IF(iecstatus=1,ROW(iecstatus)-ROW(IEC!$E$5)+1)),ROWS(L$11:L14))),"")</f>
        <v>Education on rabies prevention and control for communities, including dog bite prevention and management of dog bites have been explored</v>
      </c>
      <c r="M14" s="58"/>
      <c r="N14" s="142" t="str">
        <f t="array" ref="N14">IF(ROWS(N$11:N14)&lt;=$M$12,INDEX('Prev &amp; Ctrl'!$C$5:$C$28,SMALL(IF(prevstage=1,IF(prevstatus=0,ROW(prevstatus)-ROW('Prev &amp; Ctrl'!$E$5)+1)),ROWS(N$11:N14))),"")</f>
        <v/>
      </c>
      <c r="O14" s="53" t="str">
        <f t="array" ref="O14">IF(ROWS(O$11:O14)&lt;=$M$13,INDEX('Prev &amp; Ctrl'!$C$5:$C$28,SMALL(IF(prevstage=1,IF(prevstatus=1,ROW(prevstatus)-ROW('Prev &amp; Ctrl'!$E$5)+1)),ROWS(O$11:O14))),"")</f>
        <v/>
      </c>
      <c r="P14" s="54"/>
      <c r="Q14" s="138" t="str">
        <f t="array" ref="Q14">IF(ROWS(Q$11:Q14)&lt;=$P$12,INDEX('Dog popn'!$C$5:C15,SMALL(IF(dogstage=1,IF(dogstatus=0,ROW(dogstatus)-ROW('Dog popn'!$E$5)+1)),ROWS(Q$11:Q14))),"")</f>
        <v/>
      </c>
      <c r="R14" s="88" t="str">
        <f t="array" ref="R14">IF(ROWS(R$11:R14)&lt;=$P$13,INDEX('Dog popn'!$C$5:$C$7,SMALL(IF(dogstage=1,IF(dogstatus=1,ROW(dogstatus)-ROW('Dog popn'!$E$5)+1)),ROWS(R$11:R14))),"")</f>
        <v/>
      </c>
      <c r="S14" s="54"/>
      <c r="T14" s="142" t="str">
        <f t="array" ref="T14">IF(ROWS(T$11:T14)&lt;=$S$12,INDEX('Cross-cutting issues'!$C$5:$C$19,SMALL(IF(crossstage=1,IF(crossstatus=0,ROW(crossstatus)-ROW('Cross-cutting issues'!$E$5)+1)),ROWS(T$11:T14))),"")</f>
        <v/>
      </c>
      <c r="U14" s="53" t="str">
        <f t="array" ref="U14">IF(ROWS(U$11:U14)&lt;=$S$13,INDEX('Cross-cutting issues'!$C$5:$C$19,SMALL(IF(crossstage=1,IF(crossstatus=1,ROW(crossstatus)-ROW('Cross-cutting issues'!$E$5)+1)),ROWS(U$11:U14))),"")</f>
        <v/>
      </c>
    </row>
    <row r="15" spans="1:21" s="52" customFormat="1" ht="25.5">
      <c r="A15" s="150"/>
      <c r="B15" s="140" t="str">
        <f t="array" ref="B15">IF(ROWS(B$11:B15)&lt;=$A$12,INDEX(Legislation!$C$5:$C$16,SMALL(IF(STAGE=1,IF(STATUS=0,ROW(STATUS)-ROW(Legislation!$E$5)+1)),ROWS(B$11:B15))),"")</f>
        <v>Legislation includes dog keeping and compulsory rabies vaccination</v>
      </c>
      <c r="C15" s="88" t="str">
        <f t="array" ref="C15">IF(ROWS(C$11:C15)&lt;=$A$13,INDEX(Legislation!$C$5:$C$16,SMALL(IF(STAGE=1,IF(STATUS=1,ROW(STATUS)-ROW(Legislation!$E$5)+1)),ROWS(C$11:C15))),"")</f>
        <v/>
      </c>
      <c r="D15" s="60"/>
      <c r="E15" s="138" t="str">
        <f t="array" ref="E15">IF(ROWS(E$11:E15)&lt;=$D$12,INDEX('Data coll &amp; ax'!$C$5:$C$13,SMALL(IF(datastage=1,IF(datastatus=0,ROW(datastatus)-ROW('Data coll &amp; ax'!$E$5)+1)),ROWS(E$11:E15))),"")</f>
        <v/>
      </c>
      <c r="F15" s="88" t="str">
        <f t="array" ref="F15">IF(ROWS(F$11:F15)&lt;=$D$13,INDEX('Data coll &amp; ax'!$C$5:$C$13,SMALL(IF(datastage=1,IF(datastatus=1,ROW(datastatus)-ROW('Data coll &amp; ax'!$E$5)+1)),ROWS(F$11:F15))),"")</f>
        <v/>
      </c>
      <c r="G15" s="54"/>
      <c r="H15" s="142" t="str">
        <f t="array" ref="H15">IF(ROWS(H$11:H15)&lt;=$G$12,INDEX('Lab dx'!$C$5:$C$14,SMALL(IF(labstage=1,IF(labstatus=0,ROW(labstatus)-ROW('Lab dx'!$E$5)+1)),ROWS(H$11:H15))),"")</f>
        <v/>
      </c>
      <c r="I15" s="53" t="str">
        <f t="array" ref="I15">IF(ROWS(I$11:I15)&lt;=$G$13,INDEX('Lab dx'!$C$5:$C$14,SMALL(IF(labstage=1,IF(labstatus=1,ROW(labstatus)-ROW('Lab dx'!$F$5)+1)),ROWS(I$11:I15))),"")</f>
        <v/>
      </c>
      <c r="J15" s="54"/>
      <c r="K15" s="138" t="str">
        <f t="array" ref="K15">IF(ROWS(K$11:K15)&lt;=$J$12,INDEX(IEC!$C$5:$C$22,SMALL(IF(iecstage=1,IF(iecstatus=0,ROW(iecstatus)-ROW(IEC!$E$5)+1)),ROWS(K$11:K15))),"")</f>
        <v/>
      </c>
      <c r="L15" s="88" t="str">
        <f t="array" ref="L15">IF(ROWS(L$11:L15)&lt;=$J$13,INDEX(IEC!$C$5:$C$22,SMALL(IF(iecstage=1,IF(iecstatus=1,ROW(iecstatus)-ROW(IEC!$E$5)+1)),ROWS(L$11:L15))),"")</f>
        <v>Sensitization of community leaders and authorities have been initiated</v>
      </c>
      <c r="M15" s="58"/>
      <c r="N15" s="142" t="str">
        <f t="array" ref="N15">IF(ROWS(N$11:N15)&lt;=$M$12,INDEX('Prev &amp; Ctrl'!$C$5:$C$28,SMALL(IF(prevstage=1,IF(prevstatus=0,ROW(prevstatus)-ROW('Prev &amp; Ctrl'!$E$5)+1)),ROWS(N$11:N15))),"")</f>
        <v/>
      </c>
      <c r="O15" s="53" t="str">
        <f t="array" ref="O15">IF(ROWS(O$11:O15)&lt;=$M$13,INDEX('Prev &amp; Ctrl'!$C$5:$C$28,SMALL(IF(prevstage=1,IF(prevstatus=1,ROW(prevstatus)-ROW('Prev &amp; Ctrl'!$E$5)+1)),ROWS(O$11:O15))),"")</f>
        <v/>
      </c>
      <c r="P15" s="54"/>
      <c r="Q15" s="138" t="str">
        <f t="array" ref="Q15">IF(ROWS(Q$11:Q15)&lt;=$P$12,INDEX('Dog popn'!$C$5:C16,SMALL(IF(dogstage=1,IF(dogstatus=0,ROW(dogstatus)-ROW('Dog popn'!$E$5)+1)),ROWS(Q$11:Q15))),"")</f>
        <v/>
      </c>
      <c r="R15" s="88" t="str">
        <f t="array" ref="R15">IF(ROWS(R$11:R15)&lt;=$P$13,INDEX('Dog popn'!$C$5:$C$7,SMALL(IF(dogstage=1,IF(dogstatus=1,ROW(dogstatus)-ROW('Dog popn'!$E$5)+1)),ROWS(R$11:R15))),"")</f>
        <v/>
      </c>
      <c r="S15" s="54"/>
      <c r="T15" s="142" t="str">
        <f t="array" ref="T15">IF(ROWS(T$11:T15)&lt;=$S$12,INDEX('Cross-cutting issues'!$C$5:$C$19,SMALL(IF(crossstage=1,IF(crossstatus=0,ROW(crossstatus)-ROW('Cross-cutting issues'!$E$5)+1)),ROWS(T$11:T15))),"")</f>
        <v/>
      </c>
      <c r="U15" s="53" t="str">
        <f t="array" ref="U15">IF(ROWS(U$11:U15)&lt;=$S$13,INDEX('Cross-cutting issues'!$C$5:$C$19,SMALL(IF(crossstage=1,IF(crossstatus=1,ROW(crossstatus)-ROW('Cross-cutting issues'!$E$5)+1)),ROWS(U$11:U15))),"")</f>
        <v/>
      </c>
    </row>
    <row r="16" spans="1:21" s="52" customFormat="1" ht="25.5">
      <c r="A16" s="150"/>
      <c r="B16" s="140" t="str">
        <f t="array" ref="B16">IF(ROWS(B$11:B16)&lt;=$A$12,INDEX(Legislation!$C$5:$C$16,SMALL(IF(STAGE=1,IF(STATUS=0,ROW(STATUS)-ROW(Legislation!$E$5)+1)),ROWS(B$11:B16))),"")</f>
        <v>Legislation includes SOPs on outbreak declaration and response</v>
      </c>
      <c r="C16" s="88" t="str">
        <f t="array" ref="C16">IF(ROWS(C$11:C16)&lt;=$A$13,INDEX(Legislation!$C$5:$C$16,SMALL(IF(STAGE=1,IF(STATUS=1,ROW(STATUS)-ROW(Legislation!$E$5)+1)),ROWS(C$11:C16))),"")</f>
        <v/>
      </c>
      <c r="D16" s="60"/>
      <c r="E16" s="138" t="str">
        <f t="array" ref="E16">IF(ROWS(E$11:E16)&lt;=$D$12,INDEX('Data coll &amp; ax'!$C$5:$C$13,SMALL(IF(datastage=1,IF(datastatus=0,ROW(datastatus)-ROW('Data coll &amp; ax'!$E$5)+1)),ROWS(E$11:E16))),"")</f>
        <v/>
      </c>
      <c r="F16" s="88" t="str">
        <f t="array" ref="F16">IF(ROWS(F$11:F16)&lt;=$D$13,INDEX('Data coll &amp; ax'!$C$5:$C$13,SMALL(IF(datastage=1,IF(datastatus=1,ROW(datastatus)-ROW('Data coll &amp; ax'!$E$5)+1)),ROWS(F$11:F16))),"")</f>
        <v/>
      </c>
      <c r="G16" s="54"/>
      <c r="H16" s="142" t="str">
        <f t="array" ref="H16">IF(ROWS(H$11:H16)&lt;=$G$12,INDEX('Lab dx'!$C$5:$C$14,SMALL(IF(labstage=1,IF(labstatus=0,ROW(labstatus)-ROW('Lab dx'!$E$5)+1)),ROWS(H$11:H16))),"")</f>
        <v/>
      </c>
      <c r="I16" s="53" t="str">
        <f t="array" ref="I16">IF(ROWS(I$11:I16)&lt;=$G$13,INDEX('Lab dx'!$C$5:$C$14,SMALL(IF(labstage=1,IF(labstatus=1,ROW(labstatus)-ROW('Lab dx'!$F$5)+1)),ROWS(I$11:I16))),"")</f>
        <v/>
      </c>
      <c r="J16" s="54"/>
      <c r="K16" s="138" t="str">
        <f t="array" ref="K16">IF(ROWS(K$11:K16)&lt;=$J$12,INDEX(IEC!$C$5:$C$22,SMALL(IF(iecstage=1,IF(iecstatus=0,ROW(iecstatus)-ROW(IEC!$E$5)+1)),ROWS(K$11:K16))),"")</f>
        <v/>
      </c>
      <c r="L16" s="88" t="str">
        <f t="array" ref="L16">IF(ROWS(L$11:L16)&lt;=$J$13,INDEX(IEC!$C$5:$C$22,SMALL(IF(iecstage=1,IF(iecstatus=1,ROW(iecstatus)-ROW(IEC!$E$5)+1)),ROWS(L$11:L16))),"")</f>
        <v/>
      </c>
      <c r="M16" s="58"/>
      <c r="N16" s="142" t="str">
        <f t="array" ref="N16">IF(ROWS(N$11:N16)&lt;=$M$12,INDEX('Prev &amp; Ctrl'!$C$5:$C$28,SMALL(IF(prevstage=1,IF(prevstatus=0,ROW(prevstatus)-ROW('Prev &amp; Ctrl'!$E$5)+1)),ROWS(N$11:N16))),"")</f>
        <v/>
      </c>
      <c r="O16" s="53" t="str">
        <f t="array" ref="O16">IF(ROWS(O$11:O16)&lt;=$M$13,INDEX('Prev &amp; Ctrl'!$C$5:$C$28,SMALL(IF(prevstage=1,IF(prevstatus=1,ROW(prevstatus)-ROW('Prev &amp; Ctrl'!$E$5)+1)),ROWS(O$11:O16))),"")</f>
        <v/>
      </c>
      <c r="P16" s="54"/>
      <c r="Q16" s="138" t="str">
        <f t="array" ref="Q16">IF(ROWS(Q$11:Q16)&lt;=$P$12,INDEX('Dog popn'!$C$5:C17,SMALL(IF(dogstage=1,IF(dogstatus=0,ROW(dogstatus)-ROW('Dog popn'!$E$5)+1)),ROWS(Q$11:Q16))),"")</f>
        <v/>
      </c>
      <c r="R16" s="88" t="str">
        <f t="array" ref="R16">IF(ROWS(R$11:R16)&lt;=$P$13,INDEX('Dog popn'!$C$5:$C$7,SMALL(IF(dogstage=1,IF(dogstatus=1,ROW(dogstatus)-ROW('Dog popn'!$E$5)+1)),ROWS(R$11:R16))),"")</f>
        <v/>
      </c>
      <c r="S16" s="54"/>
      <c r="T16" s="142" t="str">
        <f t="array" ref="T16">IF(ROWS(T$11:T16)&lt;=$S$12,INDEX('Cross-cutting issues'!$C$5:$C$19,SMALL(IF(crossstage=1,IF(crossstatus=0,ROW(crossstatus)-ROW('Cross-cutting issues'!$E$5)+1)),ROWS(T$11:T16))),"")</f>
        <v/>
      </c>
      <c r="U16" s="53" t="str">
        <f t="array" ref="U16">IF(ROWS(U$11:U16)&lt;=$S$13,INDEX('Cross-cutting issues'!$C$5:$C$19,SMALL(IF(crossstage=1,IF(crossstatus=1,ROW(crossstatus)-ROW('Cross-cutting issues'!$E$5)+1)),ROWS(U$11:U16))),"")</f>
        <v/>
      </c>
    </row>
    <row r="17" spans="1:21" s="52" customFormat="1">
      <c r="A17" s="150"/>
      <c r="B17" s="140" t="str">
        <f t="array" ref="B17">IF(ROWS(B$11:B17)&lt;=$A$12,INDEX(Legislation!$C$5:$C$16,SMALL(IF(STAGE=1,IF(STATUS=0,ROW(STATUS)-ROW(Legislation!$E$5)+1)),ROWS(B$11:B17))),"")</f>
        <v/>
      </c>
      <c r="C17" s="88" t="str">
        <f t="array" ref="C17">IF(ROWS(C$11:C17)&lt;=$A$13,INDEX(Legislation!$C$5:$C$16,SMALL(IF(STAGE=1,IF(STATUS=1,ROW(STATUS)-ROW(Legislation!$E$5)+1)),ROWS(C$11:C17))),"")</f>
        <v/>
      </c>
      <c r="D17" s="60"/>
      <c r="E17" s="138" t="str">
        <f t="array" ref="E17">IF(ROWS(E$11:E17)&lt;=$D$12,INDEX('Data coll &amp; ax'!$C$5:$C$13,SMALL(IF(datastage=1,IF(datastatus=0,ROW(datastatus)-ROW('Data coll &amp; ax'!$E$5)+1)),ROWS(E$11:E17))),"")</f>
        <v/>
      </c>
      <c r="F17" s="88" t="str">
        <f t="array" ref="F17">IF(ROWS(F$11:F17)&lt;=$D$13,INDEX('Data coll &amp; ax'!$C$5:$C$13,SMALL(IF(datastage=1,IF(datastatus=1,ROW(datastatus)-ROW('Data coll &amp; ax'!$E$5)+1)),ROWS(F$11:F17))),"")</f>
        <v/>
      </c>
      <c r="G17" s="54"/>
      <c r="H17" s="142" t="str">
        <f t="array" ref="H17">IF(ROWS(H$11:H17)&lt;=$G$12,INDEX('Lab dx'!$C$5:$C$14,SMALL(IF(labstage=1,IF(labstatus=0,ROW(labstatus)-ROW('Lab dx'!$E$5)+1)),ROWS(H$11:H17))),"")</f>
        <v/>
      </c>
      <c r="I17" s="53" t="str">
        <f t="array" ref="I17">IF(ROWS(I$11:I17)&lt;=$G$13,INDEX('Lab dx'!$C$5:$C$14,SMALL(IF(labstage=1,IF(labstatus=1,ROW(labstatus)-ROW('Lab dx'!$F$5)+1)),ROWS(I$11:I17))),"")</f>
        <v/>
      </c>
      <c r="J17" s="54"/>
      <c r="K17" s="138" t="str">
        <f t="array" ref="K17">IF(ROWS(K$11:K17)&lt;=$J$12,INDEX(IEC!$C$5:$C$22,SMALL(IF(iecstage=1,IF(iecstatus=0,ROW(iecstatus)-ROW(IEC!$E$5)+1)),ROWS(K$11:K17))),"")</f>
        <v/>
      </c>
      <c r="L17" s="88" t="str">
        <f t="array" ref="L17">IF(ROWS(L$11:L17)&lt;=$J$13,INDEX(IEC!$C$5:$C$22,SMALL(IF(iecstage=1,IF(iecstatus=1,ROW(iecstatus)-ROW(IEC!$E$5)+1)),ROWS(L$11:L17))),"")</f>
        <v/>
      </c>
      <c r="M17" s="58"/>
      <c r="N17" s="142" t="str">
        <f t="array" ref="N17">IF(ROWS(N$11:N17)&lt;=$M$12,INDEX('Prev &amp; Ctrl'!$C$5:$C$28,SMALL(IF(prevstage=1,IF(prevstatus=0,ROW(prevstatus)-ROW('Prev &amp; Ctrl'!$E$5)+1)),ROWS(N$11:N17))),"")</f>
        <v/>
      </c>
      <c r="O17" s="53" t="str">
        <f t="array" ref="O17">IF(ROWS(O$11:O17)&lt;=$M$13,INDEX('Prev &amp; Ctrl'!$C$5:$C$28,SMALL(IF(prevstage=1,IF(prevstatus=1,ROW(prevstatus)-ROW('Prev &amp; Ctrl'!$E$5)+1)),ROWS(O$11:O17))),"")</f>
        <v/>
      </c>
      <c r="P17" s="54"/>
      <c r="Q17" s="138" t="str">
        <f t="array" ref="Q17">IF(ROWS(Q$11:Q17)&lt;=$P$12,INDEX('Dog popn'!$C$5:C18,SMALL(IF(dogstage=1,IF(dogstatus=0,ROW(dogstatus)-ROW('Dog popn'!$E$5)+1)),ROWS(Q$11:Q17))),"")</f>
        <v/>
      </c>
      <c r="R17" s="88" t="str">
        <f t="array" ref="R17">IF(ROWS(R$11:R17)&lt;=$P$13,INDEX('Dog popn'!$C$5:$C$7,SMALL(IF(dogstage=1,IF(dogstatus=1,ROW(dogstatus)-ROW('Dog popn'!$E$5)+1)),ROWS(R$11:R17))),"")</f>
        <v/>
      </c>
      <c r="S17" s="54"/>
      <c r="T17" s="142" t="str">
        <f t="array" ref="T17">IF(ROWS(T$11:T17)&lt;=$S$12,INDEX('Cross-cutting issues'!$C$5:$C$19,SMALL(IF(crossstage=1,IF(crossstatus=0,ROW(crossstatus)-ROW('Cross-cutting issues'!$E$5)+1)),ROWS(T$11:T17))),"")</f>
        <v/>
      </c>
      <c r="U17" s="53" t="str">
        <f t="array" ref="U17">IF(ROWS(U$11:U17)&lt;=$S$13,INDEX('Cross-cutting issues'!$C$5:$C$19,SMALL(IF(crossstage=1,IF(crossstatus=1,ROW(crossstatus)-ROW('Cross-cutting issues'!$E$5)+1)),ROWS(U$11:U17))),"")</f>
        <v/>
      </c>
    </row>
    <row r="18" spans="1:21" s="52" customFormat="1">
      <c r="A18" s="150"/>
      <c r="B18" s="140" t="str">
        <f t="array" ref="B18">IF(ROWS(B$11:B18)&lt;=$A$12,INDEX(Legislation!$C$5:$C$16,SMALL(IF(STAGE=1,IF(STATUS=0,ROW(STATUS)-ROW(Legislation!$E$5)+1)),ROWS(B$11:B18))),"")</f>
        <v/>
      </c>
      <c r="C18" s="88" t="str">
        <f t="array" ref="C18">IF(ROWS(C$11:C18)&lt;=$A$13,INDEX(Legislation!$C$5:$C$16,SMALL(IF(STAGE=1,IF(STATUS=1,ROW(STATUS)-ROW(Legislation!$E$5)+1)),ROWS(C$11:C18))),"")</f>
        <v/>
      </c>
      <c r="D18" s="60"/>
      <c r="E18" s="138" t="str">
        <f t="array" ref="E18">IF(ROWS(E$11:E18)&lt;=$D$12,INDEX('Data coll &amp; ax'!$C$5:$C$13,SMALL(IF(datastage=1,IF(datastatus=0,ROW(datastatus)-ROW('Data coll &amp; ax'!$E$5)+1)),ROWS(E$11:E18))),"")</f>
        <v/>
      </c>
      <c r="F18" s="88" t="str">
        <f t="array" ref="F18">IF(ROWS(F$11:F18)&lt;=$D$13,INDEX('Data coll &amp; ax'!$C$5:$C$13,SMALL(IF(datastage=1,IF(datastatus=1,ROW(datastatus)-ROW('Data coll &amp; ax'!$E$5)+1)),ROWS(F$11:F18))),"")</f>
        <v/>
      </c>
      <c r="G18" s="54"/>
      <c r="H18" s="142" t="str">
        <f t="array" ref="H18">IF(ROWS(H$11:H18)&lt;=$G$12,INDEX('Lab dx'!$C$5:$C$14,SMALL(IF(labstage=1,IF(labstatus=0,ROW(labstatus)-ROW('Lab dx'!$E$5)+1)),ROWS(H$11:H18))),"")</f>
        <v/>
      </c>
      <c r="I18" s="53" t="str">
        <f t="array" ref="I18">IF(ROWS(I$11:I18)&lt;=$G$13,INDEX('Lab dx'!$C$5:$C$14,SMALL(IF(labstage=1,IF(labstatus=1,ROW(labstatus)-ROW('Lab dx'!$F$5)+1)),ROWS(I$11:I18))),"")</f>
        <v/>
      </c>
      <c r="J18" s="54"/>
      <c r="K18" s="138" t="str">
        <f t="array" ref="K18">IF(ROWS(K$11:K18)&lt;=$J$12,INDEX(IEC!$C$5:$C$22,SMALL(IF(iecstage=1,IF(iecstatus=0,ROW(iecstatus)-ROW(IEC!$E$5)+1)),ROWS(K$11:K18))),"")</f>
        <v/>
      </c>
      <c r="L18" s="88" t="str">
        <f t="array" ref="L18">IF(ROWS(L$11:L18)&lt;=$J$13,INDEX(IEC!$C$5:$C$22,SMALL(IF(iecstage=1,IF(iecstatus=1,ROW(iecstatus)-ROW(IEC!$E$5)+1)),ROWS(L$11:L18))),"")</f>
        <v/>
      </c>
      <c r="M18" s="58"/>
      <c r="N18" s="142" t="str">
        <f t="array" ref="N18">IF(ROWS(N$11:N18)&lt;=$M$12,INDEX('Prev &amp; Ctrl'!$C$5:$C$28,SMALL(IF(prevstage=1,IF(prevstatus=0,ROW(prevstatus)-ROW('Prev &amp; Ctrl'!$E$5)+1)),ROWS(N$11:N18))),"")</f>
        <v/>
      </c>
      <c r="O18" s="53" t="str">
        <f t="array" ref="O18">IF(ROWS(O$11:O18)&lt;=$M$13,INDEX('Prev &amp; Ctrl'!$C$5:$C$28,SMALL(IF(prevstage=1,IF(prevstatus=1,ROW(prevstatus)-ROW('Prev &amp; Ctrl'!$E$5)+1)),ROWS(O$11:O18))),"")</f>
        <v/>
      </c>
      <c r="P18" s="54"/>
      <c r="Q18" s="138" t="str">
        <f t="array" ref="Q18">IF(ROWS(Q$11:Q18)&lt;=$P$12,INDEX('Dog popn'!$C$5:C19,SMALL(IF(dogstage=1,IF(dogstatus=0,ROW(dogstatus)-ROW('Dog popn'!$E$5)+1)),ROWS(Q$11:Q18))),"")</f>
        <v/>
      </c>
      <c r="R18" s="88" t="str">
        <f t="array" ref="R18">IF(ROWS(R$11:R18)&lt;=$P$13,INDEX('Dog popn'!$C$5:$C$7,SMALL(IF(dogstage=1,IF(dogstatus=1,ROW(dogstatus)-ROW('Dog popn'!$E$5)+1)),ROWS(R$11:R18))),"")</f>
        <v/>
      </c>
      <c r="S18" s="54"/>
      <c r="T18" s="142" t="str">
        <f t="array" ref="T18">IF(ROWS(T$11:T18)&lt;=$S$12,INDEX('Cross-cutting issues'!$C$5:$C$19,SMALL(IF(crossstage=1,IF(crossstatus=0,ROW(crossstatus)-ROW('Cross-cutting issues'!$E$5)+1)),ROWS(T$11:T18))),"")</f>
        <v/>
      </c>
      <c r="U18" s="53" t="str">
        <f t="array" ref="U18">IF(ROWS(U$11:U18)&lt;=$S$13,INDEX('Cross-cutting issues'!$C$5:$C$19,SMALL(IF(crossstage=1,IF(crossstatus=1,ROW(crossstatus)-ROW('Cross-cutting issues'!$E$5)+1)),ROWS(U$11:U18))),"")</f>
        <v/>
      </c>
    </row>
    <row r="19" spans="1:21" s="52" customFormat="1">
      <c r="A19" s="151"/>
      <c r="B19" s="140" t="str">
        <f t="array" ref="B19">IF(ROWS(B$11:B19)&lt;=$A$12,INDEX(Legislation!$C$5:$C$16,SMALL(IF(STAGE=1,IF(STATUS=0,ROW(STATUS)-ROW(Legislation!$E$5)+1)),ROWS(B$11:B19))),"")</f>
        <v/>
      </c>
      <c r="C19" s="89" t="str">
        <f t="array" ref="C19">IF(ROWS(C$11:C19)&lt;=$A$13,INDEX(Legislation!$C$5:$C$16,SMALL(IF(STAGE=1,IF(STATUS=1,ROW(STATUS)-ROW(Legislation!$E$5)+1)),ROWS(C$11:C19))),"")</f>
        <v/>
      </c>
      <c r="D19" s="66"/>
      <c r="E19" s="138" t="str">
        <f t="array" ref="E19">IF(ROWS(E$11:E19)&lt;=$D$12,INDEX('Data coll &amp; ax'!$C$5:$C$13,SMALL(IF(datastage=1,IF(datastatus=0,ROW(datastatus)-ROW('Data coll &amp; ax'!$E$5)+1)),ROWS(E$11:E19))),"")</f>
        <v/>
      </c>
      <c r="F19" s="89" t="str">
        <f t="array" ref="F19">IF(ROWS(F$11:F19)&lt;=$D$13,INDEX('Data coll &amp; ax'!$C$5:$C$13,SMALL(IF(datastage=1,IF(datastatus=1,ROW(datastatus)-ROW('Data coll &amp; ax'!$E$5)+1)),ROWS(F$11:F19))),"")</f>
        <v/>
      </c>
      <c r="G19" s="56"/>
      <c r="H19" s="143" t="str">
        <f t="array" ref="H19">IF(ROWS(H$11:H19)&lt;=$G$12,INDEX('Lab dx'!$C$5:$C$14,SMALL(IF(labstage=1,IF(labstatus=0,ROW(labstatus)-ROW('Lab dx'!$E$5)+1)),ROWS(H$11:H19))),"")</f>
        <v/>
      </c>
      <c r="I19" s="55" t="str">
        <f t="array" ref="I19">IF(ROWS(I$11:I19)&lt;=$G$13,INDEX('Lab dx'!$C$5:$C$14,SMALL(IF(labstage=1,IF(labstatus=1,ROW(labstatus)-ROW('Lab dx'!$F$5)+1)),ROWS(I$11:I19))),"")</f>
        <v/>
      </c>
      <c r="J19" s="56"/>
      <c r="K19" s="139" t="str">
        <f t="array" ref="K19">IF(ROWS(K$11:K19)&lt;=$J$12,INDEX(IEC!$C$5:$C$22,SMALL(IF(iecstage=1,IF(iecstatus=0,ROW(iecstatus)-ROW(IEC!$E$5)+1)),ROWS(K$11:K19))),"")</f>
        <v/>
      </c>
      <c r="L19" s="89" t="str">
        <f t="array" ref="L19">IF(ROWS(L$11:L19)&lt;=$J$13,INDEX(IEC!$C$5:$C$22,SMALL(IF(iecstage=1,IF(iecstatus=1,ROW(iecstatus)-ROW(IEC!$E$5)+1)),ROWS(L$11:L19))),"")</f>
        <v/>
      </c>
      <c r="M19" s="59"/>
      <c r="N19" s="143" t="str">
        <f t="array" ref="N19">IF(ROWS(N$11:N19)&lt;=$M$12,INDEX('Prev &amp; Ctrl'!$C$5:$C$28,SMALL(IF(prevstage=1,IF(prevstatus=0,ROW(prevstatus)-ROW('Prev &amp; Ctrl'!$E$5)+1)),ROWS(N$11:N19))),"")</f>
        <v/>
      </c>
      <c r="O19" s="55" t="str">
        <f t="array" ref="O19">IF(ROWS(O$11:O19)&lt;=$M$13,INDEX('Prev &amp; Ctrl'!$C$5:$C$28,SMALL(IF(prevstage=1,IF(prevstatus=1,ROW(prevstatus)-ROW('Prev &amp; Ctrl'!$E$5)+1)),ROWS(O$11:O19))),"")</f>
        <v/>
      </c>
      <c r="P19" s="56"/>
      <c r="Q19" s="139" t="str">
        <f t="array" ref="Q19">IF(ROWS(Q$11:Q19)&lt;=$P$12,INDEX('Dog popn'!$C$5:C20,SMALL(IF(dogstage=1,IF(dogstatus=0,ROW(dogstatus)-ROW('Dog popn'!$E$5)+1)),ROWS(Q$11:Q19))),"")</f>
        <v/>
      </c>
      <c r="R19" s="89" t="str">
        <f t="array" ref="R19">IF(ROWS(R$11:R19)&lt;=$P$13,INDEX('Dog popn'!$C$5:$C$7,SMALL(IF(dogstage=1,IF(dogstatus=1,ROW(dogstatus)-ROW('Dog popn'!$E$5)+1)),ROWS(R$11:R19))),"")</f>
        <v/>
      </c>
      <c r="S19" s="56"/>
      <c r="T19" s="143" t="str">
        <f t="array" ref="T19">IF(ROWS(T$11:T19)&lt;=$S$12,INDEX('Cross-cutting issues'!$C$5:$C$19,SMALL(IF(crossstage=1,IF(crossstatus=0,ROW(crossstatus)-ROW('Cross-cutting issues'!$E$5)+1)),ROWS(T$11:T19))),"")</f>
        <v/>
      </c>
      <c r="U19" s="55" t="str">
        <f t="array" ref="U19">IF(ROWS(U$11:U19)&lt;=$S$13,INDEX('Cross-cutting issues'!$C$5:$C$19,SMALL(IF(crossstage=1,IF(crossstatus=1,ROW(crossstatus)-ROW('Cross-cutting issues'!$E$5)+1)),ROWS(U$11:U19))),"")</f>
        <v/>
      </c>
    </row>
    <row r="20" spans="1:21" s="52" customFormat="1" ht="63.75">
      <c r="A20" s="156">
        <v>2</v>
      </c>
      <c r="B20" s="136" t="str">
        <f t="array" ref="B20">IF(ROWS(B$20:B20)&lt;=$A$21,INDEX(Legislation!$C$5:$C$16,SMALL(IF(STAGE=2,IF(STATUS=0,ROW(STATUS)-ROW(Legislation!$E$5)+1)),ROWS(B$20:B20))),"")</f>
        <v>The animal rabies case definition has been reviewed and was endorsed (intersectoral approach)</v>
      </c>
      <c r="C20" s="87" t="str">
        <f t="array" ref="C20">IF(ROWS(C$20:C20)&lt;=$A$22,INDEX(Legislation!$C$5:$C$16,SMALL(IF(STAGE=2,IF(STATUS=1,ROW(STATUS)-ROW(Legislation!$E$5)+1)),ROWS(C$20:C20))),"")</f>
        <v/>
      </c>
      <c r="D20" s="62"/>
      <c r="E20" s="136" t="str">
        <f t="array" ref="E20">IF(ROWS(E$20:E20)&lt;=$D$21,INDEX('Data coll &amp; ax'!$C$5:$C$13,SMALL(IF(datastage=2,IF(datastatus=0,ROW(datastatus)-ROW('Data coll &amp; ax'!$E$5)+1)),ROWS(E$20:E20))),"")</f>
        <v>Coordinated rabies surveillance systems covering the entire country have been established, including agreed SOPs</v>
      </c>
      <c r="F20" s="87" t="str">
        <f t="array" ref="F20">IF(ROWS(F$20:F20)&lt;=$D$22,INDEX('Data coll &amp; ax'!$C$5:$C$13,SMALL(IF(datastage=2,IF(datastatus=1,ROW(datastatus)-ROW('Data coll &amp; ax'!$E$5)+1)),ROWS(F$20:F20))),"")</f>
        <v>A reporting and feedback mechanism between all stakeholders (including local and national, human and animal health offices) has been established</v>
      </c>
      <c r="G20" s="51"/>
      <c r="H20" s="141" t="str">
        <f t="array" ref="H20">IF(ROWS(H$20:H20)&lt;=$G$21,INDEX('Lab dx'!$C$5:$C$14,SMALL(IF(labstage=2,IF(labstatus=0,ROW(labstatus)-ROW('Lab dx'!$E$5)+1)),ROWS(H$20:H20))),"")</f>
        <v>Capacity for confirmatory rabies diagnosis in at least one laboratory of the country has been established</v>
      </c>
      <c r="I20" s="50" t="str">
        <f t="array" ref="I20">IF(ROWS(I$20:I20)&lt;=$G$22,INDEX('Lab dx'!$C$5:$C$14,SMALL(IF(labstage=2,IF(labstatus=1,ROW(labstatus)-ROW('Lab dx'!$F$5)+1)),ROWS(I$20:I20))),"")</f>
        <v/>
      </c>
      <c r="J20" s="51"/>
      <c r="K20" s="136" t="str">
        <f t="array" ref="K20">IF(ROWS(K$20:K20)&lt;=$J$21,INDEX(IEC!$C$5:$C$22,SMALL(IF(iecstage=2,IF(iecstatus=0,ROW(iecstatus)-ROW(IEC!$E$5)+1)),ROWS(K$20:K20))),"")</f>
        <v xml:space="preserve">A reporting and feedback mechanism between all stakeholders (both local and national, human and animal health offices) has been established </v>
      </c>
      <c r="L20" s="87" t="str">
        <f t="array" ref="L20">IF(ROWS(L$20:L20)&lt;=$J$22,INDEX(IEC!$C$5:$C$22,SMALL(IF(iecstage=2,IF(iecstatus=1,ROW(iecstatus)-ROW(IEC!$E$5)+1)),ROWS(L$20:L20))),"")</f>
        <v/>
      </c>
      <c r="M20" s="57"/>
      <c r="N20" s="141" t="str">
        <f t="array" ref="N20">IF(ROWS(N$20:N20)&lt;=$M$21,INDEX('Prev &amp; Ctrl'!$C$5:$C$28,SMALL(IF(prevstage=2,IF(prevstatus=0,ROW(prevstatus)-ROW('Prev &amp; Ctrl'!$E$5)+1)),ROWS(N$20:N20))),"")</f>
        <v>Human biologics have been made available and accessible to most parts of the country</v>
      </c>
      <c r="O20" s="50" t="str">
        <f t="array" ref="O20">IF(ROWS(O$20:O20)&lt;=$M$22,INDEX('Prev &amp; Ctrl'!$C$5:$C$28,SMALL(IF(prevstage=2,IF(prevstatus=1,ROW(prevstatus)-ROW('Prev &amp; Ctrl'!$E$5)+1)),ROWS(O$20:O20))),"")</f>
        <v>SOPs for the observation of dogs involved in biting incidents available</v>
      </c>
      <c r="P20" s="51"/>
      <c r="Q20" s="136" t="str">
        <f t="array" ref="Q20">IF(ROWS(Q$20:Q20)&lt;=$P$21,INDEX('Dog popn'!$C$5:C21,SMALL(IF(dogstage=2,IF(dogstatus=0,ROW(dogstatus)-ROW('Dog popn'!$E$5)+1)),ROWS(Q$20:Q20))),"")</f>
        <v/>
      </c>
      <c r="R20" s="87" t="str">
        <f t="array" ref="R20">IF(ROWS(R$20:R20)&lt;=$P$21,INDEX('Dog popn'!$C$5:$C$7,SMALL(IF(dogstage=2,IF(dogstatus=1,ROW(dogstatus)-ROW('Dog popn'!$E$5)+1)),ROWS(R$20:R20))),"")</f>
        <v/>
      </c>
      <c r="S20" s="51"/>
      <c r="T20" s="141" t="str">
        <f t="array" ref="T20">IF(ROWS(T$20:T20)&lt;=$S$21,INDEX('Cross-cutting issues'!$C$5:$C$19,SMALL(IF(crossstage=2,IF(crossstatus=0,ROW(crossstatus)-ROW('Cross-cutting issues'!$E$5)+1)),ROWS(T$20:T20))),"")</f>
        <v>Mechanisms for regular intersectoral collaboration are in place and implemented</v>
      </c>
      <c r="U20" s="50" t="str">
        <f t="array" ref="U20">IF(ROWS(U$20:U20)&lt;=$S$22,INDEX('Cross-cutting issues'!$C$5:$C$19,SMALL(IF(crossstage=2,IF(crossstatus=1,ROW(crossstatus)-ROW('Cross-cutting issues'!$E$5)+1)),ROWS(U$20:U20))),"")</f>
        <v/>
      </c>
    </row>
    <row r="21" spans="1:21" s="52" customFormat="1" ht="63.75">
      <c r="A21" s="149">
        <f>SUMPRODUCT((STAGE=2)*(STATUS=0))</f>
        <v>3</v>
      </c>
      <c r="B21" s="138" t="str">
        <f t="array" ref="B21">IF(ROWS(B$20:B21)&lt;=$A$21,INDEX(Legislation!$C$5:$C$16,SMALL(IF(STAGE=2,IF(STATUS=0,ROW(STATUS)-ROW(Legislation!$E$5)+1)),ROWS(B$20:B21))),"")</f>
        <v>The human rabies case definition has been reviewed and was endorsed (intersectoral approach)</v>
      </c>
      <c r="C21" s="88" t="str">
        <f t="array" ref="C21">IF(ROWS(C$20:C21)&lt;=$A$22,INDEX(Legislation!$C$5:$C$16,SMALL(IF(STAGE=2,IF(STATUS=1,ROW(STATUS)-ROW(Legislation!$E$5)+1)),ROWS(C$20:C21))),"")</f>
        <v/>
      </c>
      <c r="D21" s="63">
        <f>SUMPRODUCT((datastage=2)*(datastatus=0))</f>
        <v>2</v>
      </c>
      <c r="E21" s="138" t="str">
        <f t="array" ref="E21">IF(ROWS(E$20:E21)&lt;=$D$21,INDEX('Data coll &amp; ax'!$C$5:$C$13,SMALL(IF(datastage=2,IF(datastatus=0,ROW(datastatus)-ROW('Data coll &amp; ax'!$E$5)+1)),ROWS(E$20:E21))),"")</f>
        <v>Collection of health economic data on rabies control, availability of some local or national health economic data to make the case for rabies control investment</v>
      </c>
      <c r="F21" s="88" t="str">
        <f t="array" ref="F21">IF(ROWS(F$20:F21)&lt;=$D$22,INDEX('Data coll &amp; ax'!$C$5:$C$13,SMALL(IF(datastage=2,IF(datastatus=1,ROW(datastatus)-ROW('Data coll &amp; ax'!$E$5)+1)),ROWS(F$20:F21))),"")</f>
        <v/>
      </c>
      <c r="G21" s="54">
        <f>SUMPRODUCT((labstage=2)*(labstatus=0))</f>
        <v>2</v>
      </c>
      <c r="H21" s="142" t="str">
        <f t="array" ref="H21">IF(ROWS(H$20:H21)&lt;=$G$21,INDEX('Lab dx'!$C$5:$C$14,SMALL(IF(labstage=2,IF(labstatus=0,ROW(labstatus)-ROW('Lab dx'!$E$5)+1)),ROWS(H$20:H21))),"")</f>
        <v>Mechanisms and capacity for sample collection and transport have been established</v>
      </c>
      <c r="I21" s="53" t="str">
        <f t="array" ref="I21">IF(ROWS(I$20:I21)&lt;=$G$22,INDEX('Lab dx'!$C$5:$C$14,SMALL(IF(labstage=2,IF(labstatus=1,ROW(labstatus)-ROW('Lab dx'!$F$5)+1)),ROWS(I$20:I21))),"")</f>
        <v/>
      </c>
      <c r="J21" s="54">
        <f>SUMPRODUCT((iecstage=2)*(iecstatus=0))</f>
        <v>4</v>
      </c>
      <c r="K21" s="138" t="str">
        <f t="array" ref="K21">IF(ROWS(K$20:K21)&lt;=$J$21,INDEX(IEC!$C$5:$C$22,SMALL(IF(iecstage=2,IF(iecstatus=0,ROW(iecstatus)-ROW(IEC!$E$5)+1)),ROWS(K$20:K21))),"")</f>
        <v>Rabies communication plan updated (e.g. Campaigns to promote responsible dog ownership have been expanded to more areas)</v>
      </c>
      <c r="L21" s="88" t="str">
        <f t="array" ref="L21">IF(ROWS(L$20:L21)&lt;=$J$22,INDEX(IEC!$C$5:$C$22,SMALL(IF(iecstage=2,IF(iecstatus=1,ROW(iecstatus)-ROW(IEC!$E$5)+1)),ROWS(L$20:L21))),"")</f>
        <v/>
      </c>
      <c r="M21" s="58">
        <f>SUMPRODUCT((prevstage=2)*(prevstatus=0))</f>
        <v>5</v>
      </c>
      <c r="N21" s="142" t="str">
        <f t="array" ref="N21">IF(ROWS(N$20:N21)&lt;=$M$21,INDEX('Prev &amp; Ctrl'!$C$5:$C$28,SMALL(IF(prevstage=2,IF(prevstatus=0,ROW(prevstatus)-ROW('Prev &amp; Ctrl'!$E$5)+1)),ROWS(N$20:N21))),"")</f>
        <v>Any use of human biologics not WHO-pre-qualified is being phased out (e.g. nerve tissue vaccines)</v>
      </c>
      <c r="O21" s="53" t="str">
        <f t="array" ref="O21">IF(ROWS(O$20:O21)&lt;=$M$22,INDEX('Prev &amp; Ctrl'!$C$5:$C$28,SMALL(IF(prevstage=2,IF(prevstatus=1,ROW(prevstatus)-ROW('Prev &amp; Ctrl'!$E$5)+1)),ROWS(O$20:O21))),"")</f>
        <v/>
      </c>
      <c r="P21" s="54">
        <f>SUMPRODUCT((dogstage=2)*(dogstatus=0))</f>
        <v>0</v>
      </c>
      <c r="Q21" s="138" t="str">
        <f t="array" ref="Q21">IF(ROWS(Q$20:Q21)&lt;=$P$21,INDEX('Dog popn'!$C$5:C22,SMALL(IF(dogstage=2,IF(dogstatus=0,ROW(dogstatus)-ROW('Dog popn'!$E$5)+1)),ROWS(Q$20:Q21))),"")</f>
        <v/>
      </c>
      <c r="R21" s="88" t="str">
        <f t="array" ref="R21">IF(ROWS(R$20:R21)&lt;=$P$21,INDEX('Dog popn'!$C$5:$C$7,SMALL(IF(dogstage=2,IF(dogstatus=1,ROW(dogstatus)-ROW('Dog popn'!$E$5)+1)),ROWS(R$20:R21))),"")</f>
        <v/>
      </c>
      <c r="S21" s="54">
        <f>SUMPRODUCT((crossstage=2)*(crossstatus=0))</f>
        <v>4</v>
      </c>
      <c r="T21" s="142" t="str">
        <f t="array" ref="T21">IF(ROWS(T$20:T21)&lt;=$S$21,INDEX('Cross-cutting issues'!$C$5:$C$19,SMALL(IF(crossstage=2,IF(crossstatus=0,ROW(crossstatus)-ROW('Cross-cutting issues'!$E$5)+1)),ROWS(T$20:T21))),"")</f>
        <v>Role of private sector has been explained more in detail.</v>
      </c>
      <c r="U21" s="53" t="str">
        <f t="array" ref="U21">IF(ROWS(U$20:U21)&lt;=$S$22,INDEX('Cross-cutting issues'!$C$5:$C$19,SMALL(IF(crossstage=2,IF(crossstatus=1,ROW(crossstatus)-ROW('Cross-cutting issues'!$E$5)+1)),ROWS(U$20:U21))),"")</f>
        <v/>
      </c>
    </row>
    <row r="22" spans="1:21" s="52" customFormat="1" ht="76.5">
      <c r="A22" s="149">
        <f>SUMPRODUCT((STAGE=2)*(STATUS=1))</f>
        <v>0</v>
      </c>
      <c r="B22" s="138" t="str">
        <f t="array" ref="B22">IF(ROWS(B$20:B22)&lt;=$A$21,INDEX(Legislation!$C$5:$C$16,SMALL(IF(STAGE=2,IF(STATUS=0,ROW(STATUS)-ROW(Legislation!$E$5)+1)),ROWS(B$20:B22))),"")</f>
        <v>Legal frameworks are in the process of being updated to include specifications on international movements of animals, preferably also compulsory vaccination of dogs</v>
      </c>
      <c r="C22" s="88" t="str">
        <f t="array" ref="C22">IF(ROWS(C$20:C22)&lt;=$A$22,INDEX(Legislation!$C$5:$C$16,SMALL(IF(STAGE=2,IF(STATUS=1,ROW(STATUS)-ROW(Legislation!$E$5)+1)),ROWS(C$20:C22))),"")</f>
        <v/>
      </c>
      <c r="D22" s="63">
        <f>SUMPRODUCT((datastage=2)*(datastatus=1))</f>
        <v>1</v>
      </c>
      <c r="E22" s="138" t="str">
        <f t="array" ref="E22">IF(ROWS(E$20:E22)&lt;=$D$21,INDEX('Data coll &amp; ax'!$C$5:$C$13,SMALL(IF(datastage=2,IF(datastatus=0,ROW(datastatus)-ROW('Data coll &amp; ax'!$E$5)+1)),ROWS(E$20:E22))),"")</f>
        <v/>
      </c>
      <c r="F22" s="88" t="str">
        <f t="array" ref="F22">IF(ROWS(F$20:F22)&lt;=$D$22,INDEX('Data coll &amp; ax'!$C$5:$C$13,SMALL(IF(datastage=2,IF(datastatus=1,ROW(datastatus)-ROW('Data coll &amp; ax'!$E$5)+1)),ROWS(F$20:F22))),"")</f>
        <v/>
      </c>
      <c r="G22" s="54">
        <f>SUMPRODUCT((labstage=2)*(labstatus=1))</f>
        <v>0</v>
      </c>
      <c r="H22" s="142" t="str">
        <f t="array" ref="H22">IF(ROWS(H$20:H22)&lt;=$G$21,INDEX('Lab dx'!$C$5:$C$14,SMALL(IF(labstage=2,IF(labstatus=0,ROW(labstatus)-ROW('Lab dx'!$E$5)+1)),ROWS(H$20:H22))),"")</f>
        <v/>
      </c>
      <c r="I22" s="53" t="str">
        <f t="array" ref="I22">IF(ROWS(I$20:I22)&lt;=$G$22,INDEX('Lab dx'!$C$5:$C$14,SMALL(IF(labstage=2,IF(labstatus=1,ROW(labstatus)-ROW('Lab dx'!$F$5)+1)),ROWS(I$20:I22))),"")</f>
        <v/>
      </c>
      <c r="J22" s="54">
        <f>SUMPRODUCT((iecstage=2)*(iecstatus=1))</f>
        <v>0</v>
      </c>
      <c r="K22" s="138" t="str">
        <f t="array" ref="K22">IF(ROWS(K$20:K22)&lt;=$J$21,INDEX(IEC!$C$5:$C$22,SMALL(IF(iecstage=2,IF(iecstatus=0,ROW(iecstatus)-ROW(IEC!$E$5)+1)),ROWS(K$20:K22))),"")</f>
        <v>Public awareness campaigns are directed and adapted to specific target groups</v>
      </c>
      <c r="L22" s="88" t="str">
        <f t="array" ref="L22">IF(ROWS(L$20:L22)&lt;=$J$22,INDEX(IEC!$C$5:$C$22,SMALL(IF(iecstage=2,IF(iecstatus=1,ROW(iecstatus)-ROW(IEC!$E$5)+1)),ROWS(L$20:L22))),"")</f>
        <v/>
      </c>
      <c r="M22" s="58">
        <f>SUMPRODUCT((prevstage=2)*(prevstatus=1))</f>
        <v>1</v>
      </c>
      <c r="N22" s="142" t="str">
        <f t="array" ref="N22">IF(ROWS(N$20:N22)&lt;=$M$21,INDEX('Prev &amp; Ctrl'!$C$5:$C$28,SMALL(IF(prevstage=2,IF(prevstatus=0,ROW(prevstatus)-ROW('Prev &amp; Ctrl'!$E$5)+1)),ROWS(N$20:N22))),"")</f>
        <v>Only quality dog vaccines in accordance with OIE standards are being used</v>
      </c>
      <c r="O22" s="53" t="str">
        <f t="array" ref="O22">IF(ROWS(O$20:O22)&lt;=$M$22,INDEX('Prev &amp; Ctrl'!$C$5:$C$28,SMALL(IF(prevstage=2,IF(prevstatus=1,ROW(prevstatus)-ROW('Prev &amp; Ctrl'!$E$5)+1)),ROWS(O$20:O22))),"")</f>
        <v/>
      </c>
      <c r="P22" s="54">
        <f>SUMPRODUCT((dogstage=2)*(dogstatus=1))</f>
        <v>0</v>
      </c>
      <c r="Q22" s="138" t="str">
        <f t="array" ref="Q22">IF(ROWS(Q$20:Q22)&lt;=$P$21,INDEX('Dog popn'!$C$5:C23,SMALL(IF(dogstage=2,IF(dogstatus=0,ROW(dogstatus)-ROW('Dog popn'!$E$5)+1)),ROWS(Q$20:Q22))),"")</f>
        <v/>
      </c>
      <c r="R22" s="88" t="str">
        <f t="array" ref="R22">IF(ROWS(R$20:R22)&lt;=$P$21,INDEX('Dog popn'!$C$5:$C$7,SMALL(IF(dogstage=2,IF(dogstatus=1,ROW(dogstatus)-ROW('Dog popn'!$E$5)+1)),ROWS(R$20:R22))),"")</f>
        <v/>
      </c>
      <c r="S22" s="54">
        <f>SUMPRODUCT((crossstage=2)*(crossstatus=1))</f>
        <v>0</v>
      </c>
      <c r="T22" s="142" t="str">
        <f t="array" ref="T22">IF(ROWS(T$20:T22)&lt;=$S$21,INDEX('Cross-cutting issues'!$C$5:$C$19,SMALL(IF(crossstage=2,IF(crossstatus=0,ROW(crossstatus)-ROW('Cross-cutting issues'!$E$5)+1)),ROWS(T$20:T22))),"")</f>
        <v>A national intersectoral programme and strategy for rabies prevention, control and elimination has been drafted and shared with all relevant parties</v>
      </c>
      <c r="U22" s="53" t="str">
        <f t="array" ref="U22">IF(ROWS(U$20:U22)&lt;=$S$22,INDEX('Cross-cutting issues'!$C$5:$C$19,SMALL(IF(crossstage=2,IF(crossstatus=1,ROW(crossstatus)-ROW('Cross-cutting issues'!$E$5)+1)),ROWS(U$20:U22))),"")</f>
        <v/>
      </c>
    </row>
    <row r="23" spans="1:21" s="52" customFormat="1" ht="51">
      <c r="A23" s="150"/>
      <c r="B23" s="138" t="str">
        <f t="array" ref="B23">IF(ROWS(B$20:B23)&lt;=$A$21,INDEX(Legislation!$C$5:$C$16,SMALL(IF(STAGE=2,IF(STATUS=0,ROW(STATUS)-ROW(Legislation!$E$5)+1)),ROWS(B$20:B23))),"")</f>
        <v/>
      </c>
      <c r="C23" s="88" t="str">
        <f t="array" ref="C23">IF(ROWS(C$20:C23)&lt;=$A$22,INDEX(Legislation!$C$5:$C$16,SMALL(IF(STAGE=2,IF(STATUS=1,ROW(STATUS)-ROW(Legislation!$E$5)+1)),ROWS(C$20:C23))),"")</f>
        <v/>
      </c>
      <c r="D23" s="63"/>
      <c r="E23" s="138" t="str">
        <f t="array" ref="E23">IF(ROWS(E$20:E23)&lt;=$D$21,INDEX('Data coll &amp; ax'!$C$5:$C$13,SMALL(IF(datastage=2,IF(datastatus=0,ROW(datastatus)-ROW('Data coll &amp; ax'!$E$5)+1)),ROWS(E$20:E23))),"")</f>
        <v/>
      </c>
      <c r="F23" s="88" t="str">
        <f t="array" ref="F23">IF(ROWS(F$20:F23)&lt;=$D$22,INDEX('Data coll &amp; ax'!$C$5:$C$13,SMALL(IF(datastage=2,IF(datastatus=1,ROW(datastatus)-ROW('Data coll &amp; ax'!$E$5)+1)),ROWS(F$20:F23))),"")</f>
        <v/>
      </c>
      <c r="G23" s="54"/>
      <c r="H23" s="142" t="str">
        <f t="array" ref="H23">IF(ROWS(H$20:H23)&lt;=$G$21,INDEX('Lab dx'!$C$5:$C$14,SMALL(IF(labstage=2,IF(labstatus=0,ROW(labstatus)-ROW('Lab dx'!$E$5)+1)),ROWS(H$20:H23))),"")</f>
        <v/>
      </c>
      <c r="I23" s="53" t="str">
        <f t="array" ref="I23">IF(ROWS(I$20:I23)&lt;=$G$22,INDEX('Lab dx'!$C$5:$C$14,SMALL(IF(labstage=2,IF(labstatus=1,ROW(labstatus)-ROW('Lab dx'!$F$5)+1)),ROWS(I$20:I23))),"")</f>
        <v/>
      </c>
      <c r="J23" s="54"/>
      <c r="K23" s="138" t="str">
        <f t="array" ref="K23">IF(ROWS(K$20:K23)&lt;=$J$21,INDEX(IEC!$C$5:$C$22,SMALL(IF(iecstage=2,IF(iecstatus=0,ROW(iecstatus)-ROW(IEC!$E$5)+1)),ROWS(K$20:K23))),"")</f>
        <v>Training of medical and veterinary personnel has been continued</v>
      </c>
      <c r="L23" s="88" t="str">
        <f t="array" ref="L23">IF(ROWS(L$20:L23)&lt;=$J$22,INDEX(IEC!$C$5:$C$22,SMALL(IF(iecstage=2,IF(iecstatus=1,ROW(iecstatus)-ROW(IEC!$E$5)+1)),ROWS(L$20:L23))),"")</f>
        <v/>
      </c>
      <c r="M23" s="58"/>
      <c r="N23" s="142" t="str">
        <f t="array" ref="N23">IF(ROWS(N$20:N23)&lt;=$M$21,INDEX('Prev &amp; Ctrl'!$C$5:$C$28,SMALL(IF(prevstage=2,IF(prevstatus=0,ROW(prevstatus)-ROW('Prev &amp; Ctrl'!$E$5)+1)),ROWS(N$20:N23))),"")</f>
        <v>Dog vaccination campaigns are regularly implemented in response to human cases and animal outbreaks</v>
      </c>
      <c r="O23" s="53" t="str">
        <f t="array" ref="O23">IF(ROWS(O$20:O23)&lt;=$M$22,INDEX('Prev &amp; Ctrl'!$C$5:$C$28,SMALL(IF(prevstage=2,IF(prevstatus=1,ROW(prevstatus)-ROW('Prev &amp; Ctrl'!$E$5)+1)),ROWS(O$20:O23))),"")</f>
        <v/>
      </c>
      <c r="P23" s="54"/>
      <c r="Q23" s="138" t="str">
        <f t="array" ref="Q23">IF(ROWS(Q$20:Q23)&lt;=$P$21,INDEX('Dog popn'!$C$5:C24,SMALL(IF(dogstage=2,IF(dogstatus=0,ROW(dogstatus)-ROW('Dog popn'!$E$5)+1)),ROWS(Q$20:Q23))),"")</f>
        <v/>
      </c>
      <c r="R23" s="88" t="str">
        <f t="array" ref="R23">IF(ROWS(R$20:R23)&lt;=$P$21,INDEX('Dog popn'!$C$5:$C$7,SMALL(IF(dogstage=2,IF(dogstatus=1,ROW(dogstatus)-ROW('Dog popn'!$E$5)+1)),ROWS(R$20:R23))),"")</f>
        <v/>
      </c>
      <c r="S23" s="54"/>
      <c r="T23" s="142" t="str">
        <f t="array" ref="T23">IF(ROWS(T$20:T23)&lt;=$S$21,INDEX('Cross-cutting issues'!$C$5:$C$19,SMALL(IF(crossstage=2,IF(crossstatus=0,ROW(crossstatus)-ROW('Cross-cutting issues'!$E$5)+1)),ROWS(T$20:T23))),"")</f>
        <v>Government resources identified and allocated for rabies control</v>
      </c>
      <c r="U23" s="53" t="str">
        <f t="array" ref="U23">IF(ROWS(U$20:U23)&lt;=$S$22,INDEX('Cross-cutting issues'!$C$5:$C$19,SMALL(IF(crossstage=2,IF(crossstatus=1,ROW(crossstatus)-ROW('Cross-cutting issues'!$E$5)+1)),ROWS(U$20:U23))),"")</f>
        <v/>
      </c>
    </row>
    <row r="24" spans="1:21" s="52" customFormat="1" ht="38.25">
      <c r="A24" s="150"/>
      <c r="B24" s="138" t="str">
        <f t="array" ref="B24">IF(ROWS(B$20:B24)&lt;=$A$21,INDEX(Legislation!$C$5:$C$16,SMALL(IF(STAGE=2,IF(STATUS=0,ROW(STATUS)-ROW(Legislation!$E$5)+1)),ROWS(B$20:B24))),"")</f>
        <v/>
      </c>
      <c r="C24" s="88" t="str">
        <f t="array" ref="C24">IF(ROWS(C$20:C24)&lt;=$A$22,INDEX(Legislation!$C$5:$C$16,SMALL(IF(STAGE=2,IF(STATUS=1,ROW(STATUS)-ROW(Legislation!$E$5)+1)),ROWS(C$20:C24))),"")</f>
        <v/>
      </c>
      <c r="D24" s="63"/>
      <c r="E24" s="138" t="str">
        <f t="array" ref="E24">IF(ROWS(E$20:E24)&lt;=$D$21,INDEX('Data coll &amp; ax'!$C$5:$C$13,SMALL(IF(datastage=2,IF(datastatus=0,ROW(datastatus)-ROW('Data coll &amp; ax'!$E$5)+1)),ROWS(E$20:E24))),"")</f>
        <v/>
      </c>
      <c r="F24" s="88" t="str">
        <f t="array" ref="F24">IF(ROWS(F$20:F24)&lt;=$D$22,INDEX('Data coll &amp; ax'!$C$5:$C$13,SMALL(IF(datastage=2,IF(datastatus=1,ROW(datastatus)-ROW('Data coll &amp; ax'!$E$5)+1)),ROWS(F$20:F24))),"")</f>
        <v/>
      </c>
      <c r="G24" s="54"/>
      <c r="H24" s="142" t="str">
        <f t="array" ref="H24">IF(ROWS(H$20:H24)&lt;=$G$21,INDEX('Lab dx'!$C$5:$C$14,SMALL(IF(labstage=2,IF(labstatus=0,ROW(labstatus)-ROW('Lab dx'!$E$5)+1)),ROWS(H$20:H24))),"")</f>
        <v/>
      </c>
      <c r="I24" s="53" t="str">
        <f t="array" ref="I24">IF(ROWS(I$20:I24)&lt;=$G$22,INDEX('Lab dx'!$C$5:$C$14,SMALL(IF(labstage=2,IF(labstatus=1,ROW(labstatus)-ROW('Lab dx'!$F$5)+1)),ROWS(I$20:I24))),"")</f>
        <v/>
      </c>
      <c r="J24" s="54"/>
      <c r="K24" s="138" t="str">
        <f t="array" ref="K24">IF(ROWS(K$20:K24)&lt;=$J$21,INDEX(IEC!$C$5:$C$22,SMALL(IF(iecstage=2,IF(iecstatus=0,ROW(iecstatus)-ROW(IEC!$E$5)+1)),ROWS(K$20:K24))),"")</f>
        <v/>
      </c>
      <c r="L24" s="88" t="str">
        <f t="array" ref="L24">IF(ROWS(L$20:L24)&lt;=$J$22,INDEX(IEC!$C$5:$C$22,SMALL(IF(iecstage=2,IF(iecstatus=1,ROW(iecstatus)-ROW(IEC!$E$5)+1)),ROWS(L$20:L24))),"")</f>
        <v/>
      </c>
      <c r="M24" s="58"/>
      <c r="N24" s="142" t="str">
        <f t="array" ref="N24">IF(ROWS(N$20:N24)&lt;=$M$21,INDEX('Prev &amp; Ctrl'!$C$5:$C$28,SMALL(IF(prevstage=2,IF(prevstatus=0,ROW(prevstatus)-ROW('Prev &amp; Ctrl'!$E$5)+1)),ROWS(N$20:N24))),"")</f>
        <v>SOPs on IBCM have been agreed upon, including sharing of information between sectors</v>
      </c>
      <c r="O24" s="53" t="str">
        <f t="array" ref="O24">IF(ROWS(O$20:O24)&lt;=$M$22,INDEX('Prev &amp; Ctrl'!$C$5:$C$28,SMALL(IF(prevstage=2,IF(prevstatus=1,ROW(prevstatus)-ROW('Prev &amp; Ctrl'!$E$5)+1)),ROWS(O$20:O24))),"")</f>
        <v/>
      </c>
      <c r="P24" s="54"/>
      <c r="Q24" s="138" t="str">
        <f t="array" ref="Q24">IF(ROWS(Q$20:Q24)&lt;=$P$21,INDEX('Dog popn'!$C$5:C25,SMALL(IF(dogstage=2,IF(dogstatus=0,ROW(dogstatus)-ROW('Dog popn'!$E$5)+1)),ROWS(Q$20:Q24))),"")</f>
        <v/>
      </c>
      <c r="R24" s="88" t="str">
        <f t="array" ref="R24">IF(ROWS(R$20:R24)&lt;=$P$21,INDEX('Dog popn'!$C$5:$C$7,SMALL(IF(dogstage=2,IF(dogstatus=1,ROW(dogstatus)-ROW('Dog popn'!$E$5)+1)),ROWS(R$20:R24))),"")</f>
        <v/>
      </c>
      <c r="S24" s="54"/>
      <c r="T24" s="142" t="str">
        <f t="array" ref="T24">IF(ROWS(T$20:T24)&lt;=$S$21,INDEX('Cross-cutting issues'!$C$5:$C$19,SMALL(IF(crossstage=2,IF(crossstatus=0,ROW(crossstatus)-ROW('Cross-cutting issues'!$E$5)+1)),ROWS(T$20:T24))),"")</f>
        <v/>
      </c>
      <c r="U24" s="53" t="str">
        <f t="array" ref="U24">IF(ROWS(U$20:U24)&lt;=$S$22,INDEX('Cross-cutting issues'!$C$5:$C$19,SMALL(IF(crossstage=2,IF(crossstatus=1,ROW(crossstatus)-ROW('Cross-cutting issues'!$E$5)+1)),ROWS(U$20:U24))),"")</f>
        <v/>
      </c>
    </row>
    <row r="25" spans="1:21" s="52" customFormat="1">
      <c r="A25" s="150"/>
      <c r="B25" s="138" t="str">
        <f t="array" ref="B25">IF(ROWS(B$20:B25)&lt;=$A$21,INDEX(Legislation!$C$5:$C$16,SMALL(IF(STAGE=2,IF(STATUS=0,ROW(STATUS)-ROW(Legislation!$E$5)+1)),ROWS(B$20:B25))),"")</f>
        <v/>
      </c>
      <c r="C25" s="88" t="str">
        <f t="array" ref="C25">IF(ROWS(C$20:C25)&lt;=$A$22,INDEX(Legislation!$C$5:$C$16,SMALL(IF(STAGE=2,IF(STATUS=1,ROW(STATUS)-ROW(Legislation!$E$5)+1)),ROWS(C$20:C25))),"")</f>
        <v/>
      </c>
      <c r="D25" s="63"/>
      <c r="E25" s="138" t="str">
        <f t="array" ref="E25">IF(ROWS(E$20:E25)&lt;=$D$21,INDEX('Data coll &amp; ax'!$C$5:$C$13,SMALL(IF(datastage=2,IF(datastatus=0,ROW(datastatus)-ROW('Data coll &amp; ax'!$E$5)+1)),ROWS(E$20:E25))),"")</f>
        <v/>
      </c>
      <c r="F25" s="88" t="str">
        <f t="array" ref="F25">IF(ROWS(F$20:F25)&lt;=$D$22,INDEX('Data coll &amp; ax'!$C$5:$C$13,SMALL(IF(datastage=2,IF(datastatus=1,ROW(datastatus)-ROW('Data coll &amp; ax'!$E$5)+1)),ROWS(F$20:F25))),"")</f>
        <v/>
      </c>
      <c r="G25" s="54"/>
      <c r="H25" s="142" t="str">
        <f t="array" ref="H25">IF(ROWS(H$20:H25)&lt;=$G$21,INDEX('Lab dx'!$C$5:$C$14,SMALL(IF(labstage=2,IF(labstatus=0,ROW(labstatus)-ROW('Lab dx'!$E$5)+1)),ROWS(H$20:H25))),"")</f>
        <v/>
      </c>
      <c r="I25" s="53" t="str">
        <f t="array" ref="I25">IF(ROWS(I$20:I25)&lt;=$G$22,INDEX('Lab dx'!$C$5:$C$14,SMALL(IF(labstage=2,IF(labstatus=1,ROW(labstatus)-ROW('Lab dx'!$F$5)+1)),ROWS(I$20:I25))),"")</f>
        <v/>
      </c>
      <c r="J25" s="54"/>
      <c r="K25" s="138" t="str">
        <f t="array" ref="K25">IF(ROWS(K$20:K25)&lt;=$J$21,INDEX(IEC!$C$5:$C$22,SMALL(IF(iecstage=2,IF(iecstatus=0,ROW(iecstatus)-ROW(IEC!$E$5)+1)),ROWS(K$20:K25))),"")</f>
        <v/>
      </c>
      <c r="L25" s="88" t="str">
        <f t="array" ref="L25">IF(ROWS(L$20:L25)&lt;=$J$22,INDEX(IEC!$C$5:$C$22,SMALL(IF(iecstage=2,IF(iecstatus=1,ROW(iecstatus)-ROW(IEC!$E$5)+1)),ROWS(L$20:L25))),"")</f>
        <v/>
      </c>
      <c r="M25" s="58"/>
      <c r="N25" s="142" t="str">
        <f t="array" ref="N25">IF(ROWS(N$20:N25)&lt;=$M$21,INDEX('Prev &amp; Ctrl'!$C$5:$C$28,SMALL(IF(prevstage=2,IF(prevstatus=0,ROW(prevstatus)-ROW('Prev &amp; Ctrl'!$E$5)+1)),ROWS(N$20:N25))),"")</f>
        <v/>
      </c>
      <c r="O25" s="53" t="str">
        <f t="array" ref="O25">IF(ROWS(O$20:O25)&lt;=$M$22,INDEX('Prev &amp; Ctrl'!$C$5:$C$28,SMALL(IF(prevstage=2,IF(prevstatus=1,ROW(prevstatus)-ROW('Prev &amp; Ctrl'!$E$5)+1)),ROWS(O$20:O25))),"")</f>
        <v/>
      </c>
      <c r="P25" s="54"/>
      <c r="Q25" s="138" t="str">
        <f t="array" ref="Q25">IF(ROWS(Q$20:Q25)&lt;=$P$21,INDEX('Dog popn'!$C$5:C26,SMALL(IF(dogstage=2,IF(dogstatus=0,ROW(dogstatus)-ROW('Dog popn'!$E$5)+1)),ROWS(Q$20:Q25))),"")</f>
        <v/>
      </c>
      <c r="R25" s="88" t="str">
        <f t="array" ref="R25">IF(ROWS(R$20:R25)&lt;=$P$21,INDEX('Dog popn'!$C$5:$C$7,SMALL(IF(dogstage=2,IF(dogstatus=1,ROW(dogstatus)-ROW('Dog popn'!$E$5)+1)),ROWS(R$20:R25))),"")</f>
        <v/>
      </c>
      <c r="S25" s="54"/>
      <c r="T25" s="142" t="str">
        <f t="array" ref="T25">IF(ROWS(T$20:T25)&lt;=$S$21,INDEX('Cross-cutting issues'!$C$5:$C$19,SMALL(IF(crossstage=2,IF(crossstatus=0,ROW(crossstatus)-ROW('Cross-cutting issues'!$E$5)+1)),ROWS(T$20:T25))),"")</f>
        <v/>
      </c>
      <c r="U25" s="53" t="str">
        <f t="array" ref="U25">IF(ROWS(U$20:U25)&lt;=$S$22,INDEX('Cross-cutting issues'!$C$5:$C$19,SMALL(IF(crossstage=2,IF(crossstatus=1,ROW(crossstatus)-ROW('Cross-cutting issues'!$E$5)+1)),ROWS(U$20:U25))),"")</f>
        <v/>
      </c>
    </row>
    <row r="26" spans="1:21" s="52" customFormat="1">
      <c r="A26" s="150"/>
      <c r="B26" s="138" t="str">
        <f t="array" ref="B26">IF(ROWS(B$20:B26)&lt;=$A$21,INDEX(Legislation!$C$5:$C$16,SMALL(IF(STAGE=2,IF(STATUS=0,ROW(STATUS)-ROW(Legislation!$E$5)+1)),ROWS(B$20:B26))),"")</f>
        <v/>
      </c>
      <c r="C26" s="88" t="str">
        <f t="array" ref="C26">IF(ROWS(C$20:C26)&lt;=$A$22,INDEX(Legislation!$C$5:$C$16,SMALL(IF(STAGE=2,IF(STATUS=1,ROW(STATUS)-ROW(Legislation!$E$5)+1)),ROWS(C$20:C26))),"")</f>
        <v/>
      </c>
      <c r="D26" s="63"/>
      <c r="E26" s="138" t="str">
        <f t="array" ref="E26">IF(ROWS(E$20:E26)&lt;=$D$21,INDEX('Data coll &amp; ax'!$C$5:$C$13,SMALL(IF(datastage=2,IF(datastatus=0,ROW(datastatus)-ROW('Data coll &amp; ax'!$E$5)+1)),ROWS(E$20:E26))),"")</f>
        <v/>
      </c>
      <c r="F26" s="88" t="str">
        <f t="array" ref="F26">IF(ROWS(F$20:F26)&lt;=$D$22,INDEX('Data coll &amp; ax'!$C$5:$C$13,SMALL(IF(datastage=2,IF(datastatus=1,ROW(datastatus)-ROW('Data coll &amp; ax'!$E$5)+1)),ROWS(F$20:F26))),"")</f>
        <v/>
      </c>
      <c r="G26" s="54"/>
      <c r="H26" s="142" t="str">
        <f t="array" ref="H26">IF(ROWS(H$20:H26)&lt;=$G$21,INDEX('Lab dx'!$C$5:$C$14,SMALL(IF(labstage=2,IF(labstatus=0,ROW(labstatus)-ROW('Lab dx'!$E$5)+1)),ROWS(H$20:H26))),"")</f>
        <v/>
      </c>
      <c r="I26" s="53" t="str">
        <f t="array" ref="I26">IF(ROWS(I$20:I26)&lt;=$G$22,INDEX('Lab dx'!$C$5:$C$14,SMALL(IF(labstage=2,IF(labstatus=1,ROW(labstatus)-ROW('Lab dx'!$F$5)+1)),ROWS(I$20:I26))),"")</f>
        <v/>
      </c>
      <c r="J26" s="54"/>
      <c r="K26" s="138" t="str">
        <f t="array" ref="K26">IF(ROWS(K$20:K26)&lt;=$J$21,INDEX(IEC!$C$5:$C$22,SMALL(IF(iecstage=2,IF(iecstatus=0,ROW(iecstatus)-ROW(IEC!$E$5)+1)),ROWS(K$20:K26))),"")</f>
        <v/>
      </c>
      <c r="L26" s="88" t="str">
        <f t="array" ref="L26">IF(ROWS(L$20:L26)&lt;=$J$22,INDEX(IEC!$C$5:$C$22,SMALL(IF(iecstage=2,IF(iecstatus=1,ROW(iecstatus)-ROW(IEC!$E$5)+1)),ROWS(L$20:L26))),"")</f>
        <v/>
      </c>
      <c r="M26" s="58"/>
      <c r="N26" s="142" t="str">
        <f t="array" ref="N26">IF(ROWS(N$20:N26)&lt;=$M$21,INDEX('Prev &amp; Ctrl'!$C$5:$C$28,SMALL(IF(prevstage=2,IF(prevstatus=0,ROW(prevstatus)-ROW('Prev &amp; Ctrl'!$E$5)+1)),ROWS(N$20:N26))),"")</f>
        <v/>
      </c>
      <c r="O26" s="53" t="str">
        <f t="array" ref="O26">IF(ROWS(O$20:O26)&lt;=$M$22,INDEX('Prev &amp; Ctrl'!$C$5:$C$28,SMALL(IF(prevstage=2,IF(prevstatus=1,ROW(prevstatus)-ROW('Prev &amp; Ctrl'!$E$5)+1)),ROWS(O$20:O26))),"")</f>
        <v/>
      </c>
      <c r="P26" s="54"/>
      <c r="Q26" s="138" t="str">
        <f t="array" ref="Q26">IF(ROWS(Q$20:Q26)&lt;=$P$21,INDEX('Dog popn'!$C$5:C27,SMALL(IF(dogstage=2,IF(dogstatus=0,ROW(dogstatus)-ROW('Dog popn'!$E$5)+1)),ROWS(Q$20:Q26))),"")</f>
        <v/>
      </c>
      <c r="R26" s="88" t="str">
        <f t="array" ref="R26">IF(ROWS(R$20:R26)&lt;=$P$21,INDEX('Dog popn'!$C$5:$C$7,SMALL(IF(dogstage=2,IF(dogstatus=1,ROW(dogstatus)-ROW('Dog popn'!$E$5)+1)),ROWS(R$20:R26))),"")</f>
        <v/>
      </c>
      <c r="S26" s="54"/>
      <c r="T26" s="142" t="str">
        <f t="array" ref="T26">IF(ROWS(T$20:T26)&lt;=$S$21,INDEX('Cross-cutting issues'!$C$5:$C$19,SMALL(IF(crossstage=2,IF(crossstatus=0,ROW(crossstatus)-ROW('Cross-cutting issues'!$E$5)+1)),ROWS(T$20:T26))),"")</f>
        <v/>
      </c>
      <c r="U26" s="53" t="str">
        <f t="array" ref="U26">IF(ROWS(U$20:U26)&lt;=$S$22,INDEX('Cross-cutting issues'!$C$5:$C$19,SMALL(IF(crossstage=2,IF(crossstatus=1,ROW(crossstatus)-ROW('Cross-cutting issues'!$E$5)+1)),ROWS(U$20:U26))),"")</f>
        <v/>
      </c>
    </row>
    <row r="27" spans="1:21" s="52" customFormat="1">
      <c r="A27" s="150"/>
      <c r="B27" s="138" t="str">
        <f t="array" ref="B27">IF(ROWS(B$20:B27)&lt;=$A$21,INDEX(Legislation!$C$5:$C$16,SMALL(IF(STAGE=2,IF(STATUS=0,ROW(STATUS)-ROW(Legislation!$E$5)+1)),ROWS(B$20:B27))),"")</f>
        <v/>
      </c>
      <c r="C27" s="88" t="str">
        <f t="array" ref="C27">IF(ROWS(C$20:C27)&lt;=$A$22,INDEX(Legislation!$C$5:$C$16,SMALL(IF(STAGE=2,IF(STATUS=1,ROW(STATUS)-ROW(Legislation!$E$5)+1)),ROWS(C$20:C27))),"")</f>
        <v/>
      </c>
      <c r="D27" s="63"/>
      <c r="E27" s="138" t="str">
        <f t="array" ref="E27">IF(ROWS(E$20:E27)&lt;=$D$21,INDEX('Data coll &amp; ax'!$C$5:$C$13,SMALL(IF(datastage=2,IF(datastatus=0,ROW(datastatus)-ROW('Data coll &amp; ax'!$E$5)+1)),ROWS(E$20:E27))),"")</f>
        <v/>
      </c>
      <c r="F27" s="88" t="str">
        <f t="array" ref="F27">IF(ROWS(F$20:F27)&lt;=$D$22,INDEX('Data coll &amp; ax'!$C$5:$C$13,SMALL(IF(datastage=2,IF(datastatus=1,ROW(datastatus)-ROW('Data coll &amp; ax'!$E$5)+1)),ROWS(F$20:F27))),"")</f>
        <v/>
      </c>
      <c r="G27" s="54"/>
      <c r="H27" s="142" t="str">
        <f t="array" ref="H27">IF(ROWS(H$20:H27)&lt;=$G$21,INDEX('Lab dx'!$C$5:$C$14,SMALL(IF(labstage=2,IF(labstatus=0,ROW(labstatus)-ROW('Lab dx'!$E$5)+1)),ROWS(H$20:H27))),"")</f>
        <v/>
      </c>
      <c r="I27" s="53" t="str">
        <f t="array" ref="I27">IF(ROWS(I$20:I27)&lt;=$G$22,INDEX('Lab dx'!$C$5:$C$14,SMALL(IF(labstage=2,IF(labstatus=1,ROW(labstatus)-ROW('Lab dx'!$F$5)+1)),ROWS(I$20:I27))),"")</f>
        <v/>
      </c>
      <c r="J27" s="54"/>
      <c r="K27" s="138" t="str">
        <f t="array" ref="K27">IF(ROWS(K$20:K27)&lt;=$J$21,INDEX(IEC!$C$5:$C$22,SMALL(IF(iecstage=2,IF(iecstatus=0,ROW(iecstatus)-ROW(IEC!$E$5)+1)),ROWS(K$20:K27))),"")</f>
        <v/>
      </c>
      <c r="L27" s="88" t="str">
        <f t="array" ref="L27">IF(ROWS(L$20:L27)&lt;=$J$22,INDEX(IEC!$C$5:$C$22,SMALL(IF(iecstage=2,IF(iecstatus=1,ROW(iecstatus)-ROW(IEC!$E$5)+1)),ROWS(L$20:L27))),"")</f>
        <v/>
      </c>
      <c r="M27" s="58"/>
      <c r="N27" s="142" t="str">
        <f t="array" ref="N27">IF(ROWS(N$20:N27)&lt;=$M$21,INDEX('Prev &amp; Ctrl'!$C$5:$C$28,SMALL(IF(prevstage=2,IF(prevstatus=0,ROW(prevstatus)-ROW('Prev &amp; Ctrl'!$E$5)+1)),ROWS(N$20:N27))),"")</f>
        <v/>
      </c>
      <c r="O27" s="53" t="str">
        <f t="array" ref="O27">IF(ROWS(O$20:O27)&lt;=$M$22,INDEX('Prev &amp; Ctrl'!$C$5:$C$28,SMALL(IF(prevstage=2,IF(prevstatus=1,ROW(prevstatus)-ROW('Prev &amp; Ctrl'!$E$5)+1)),ROWS(O$20:O27))),"")</f>
        <v/>
      </c>
      <c r="P27" s="54"/>
      <c r="Q27" s="138" t="str">
        <f t="array" ref="Q27">IF(ROWS(Q$20:Q27)&lt;=$P$21,INDEX('Dog popn'!$C$5:C28,SMALL(IF(dogstage=2,IF(dogstatus=0,ROW(dogstatus)-ROW('Dog popn'!$E$5)+1)),ROWS(Q$20:Q27))),"")</f>
        <v/>
      </c>
      <c r="R27" s="88" t="str">
        <f t="array" ref="R27">IF(ROWS(R$20:R27)&lt;=$P$21,INDEX('Dog popn'!$C$5:$C$7,SMALL(IF(dogstage=2,IF(dogstatus=1,ROW(dogstatus)-ROW('Dog popn'!$E$5)+1)),ROWS(R$20:R27))),"")</f>
        <v/>
      </c>
      <c r="S27" s="54"/>
      <c r="T27" s="142" t="str">
        <f t="array" ref="T27">IF(ROWS(T$20:T27)&lt;=$S$21,INDEX('Cross-cutting issues'!$C$5:$C$19,SMALL(IF(crossstage=2,IF(crossstatus=0,ROW(crossstatus)-ROW('Cross-cutting issues'!$E$5)+1)),ROWS(T$20:T27))),"")</f>
        <v/>
      </c>
      <c r="U27" s="53" t="str">
        <f t="array" ref="U27">IF(ROWS(U$20:U27)&lt;=$S$22,INDEX('Cross-cutting issues'!$C$5:$C$19,SMALL(IF(crossstage=2,IF(crossstatus=1,ROW(crossstatus)-ROW('Cross-cutting issues'!$E$5)+1)),ROWS(U$20:U27))),"")</f>
        <v/>
      </c>
    </row>
    <row r="28" spans="1:21" s="52" customFormat="1">
      <c r="A28" s="151"/>
      <c r="B28" s="139" t="str">
        <f t="array" ref="B28">IF(ROWS(B$20:B28)&lt;=$A$21,INDEX(Legislation!$C$5:$C$16,SMALL(IF(STAGE=2,IF(STATUS=0,ROW(STATUS)-ROW(Legislation!$E$5)+1)),ROWS(B$20:B28))),"")</f>
        <v/>
      </c>
      <c r="C28" s="89" t="str">
        <f t="array" ref="C28">IF(ROWS(C$20:C28)&lt;=$A$22,INDEX(Legislation!$C$5:$C$16,SMALL(IF(STAGE=2,IF(STATUS=1,ROW(STATUS)-ROW(Legislation!$E$5)+1)),ROWS(C$20:C28))),"")</f>
        <v/>
      </c>
      <c r="D28" s="64"/>
      <c r="E28" s="139" t="str">
        <f t="array" ref="E28">IF(ROWS(E$20:E28)&lt;=$D$21,INDEX('Data coll &amp; ax'!$C$5:$C$13,SMALL(IF(datastage=2,IF(datastatus=0,ROW(datastatus)-ROW('Data coll &amp; ax'!$E$5)+1)),ROWS(E$20:E28))),"")</f>
        <v/>
      </c>
      <c r="F28" s="89" t="str">
        <f t="array" ref="F28">IF(ROWS(F$20:F28)&lt;=$D$22,INDEX('Data coll &amp; ax'!$C$5:$C$13,SMALL(IF(datastage=2,IF(datastatus=1,ROW(datastatus)-ROW('Data coll &amp; ax'!$E$5)+1)),ROWS(F$20:F28))),"")</f>
        <v/>
      </c>
      <c r="G28" s="56"/>
      <c r="H28" s="143" t="str">
        <f t="array" ref="H28">IF(ROWS(H$20:H28)&lt;=$G$21,INDEX('Lab dx'!$C$5:$C$14,SMALL(IF(labstage=2,IF(labstatus=0,ROW(labstatus)-ROW('Lab dx'!$E$5)+1)),ROWS(H$20:H28))),"")</f>
        <v/>
      </c>
      <c r="I28" s="55" t="str">
        <f t="array" ref="I28">IF(ROWS(I$20:I28)&lt;=$G$22,INDEX('Lab dx'!$C$5:$C$14,SMALL(IF(labstage=2,IF(labstatus=1,ROW(labstatus)-ROW('Lab dx'!$F$5)+1)),ROWS(I$20:I28))),"")</f>
        <v/>
      </c>
      <c r="J28" s="56"/>
      <c r="K28" s="139" t="str">
        <f t="array" ref="K28">IF(ROWS(K$20:K28)&lt;=$J$21,INDEX(IEC!$C$5:$C$22,SMALL(IF(iecstage=2,IF(iecstatus=0,ROW(iecstatus)-ROW(IEC!$E$5)+1)),ROWS(K$20:K28))),"")</f>
        <v/>
      </c>
      <c r="L28" s="89" t="str">
        <f t="array" ref="L28">IF(ROWS(L$20:L28)&lt;=$J$22,INDEX(IEC!$C$5:$C$22,SMALL(IF(iecstage=2,IF(iecstatus=1,ROW(iecstatus)-ROW(IEC!$E$5)+1)),ROWS(L$20:L28))),"")</f>
        <v/>
      </c>
      <c r="M28" s="59"/>
      <c r="N28" s="143" t="str">
        <f t="array" ref="N28">IF(ROWS(N$20:N28)&lt;=$M$21,INDEX('Prev &amp; Ctrl'!$C$5:$C$28,SMALL(IF(prevstage=2,IF(prevstatus=0,ROW(prevstatus)-ROW('Prev &amp; Ctrl'!$E$5)+1)),ROWS(N$20:N28))),"")</f>
        <v/>
      </c>
      <c r="O28" s="55" t="str">
        <f t="array" ref="O28">IF(ROWS(O$20:O28)&lt;=$M$22,INDEX('Prev &amp; Ctrl'!$C$5:$C$28,SMALL(IF(prevstage=2,IF(prevstatus=1,ROW(prevstatus)-ROW('Prev &amp; Ctrl'!$E$5)+1)),ROWS(O$20:O28))),"")</f>
        <v/>
      </c>
      <c r="P28" s="56"/>
      <c r="Q28" s="139" t="str">
        <f t="array" ref="Q28">IF(ROWS(Q$20:Q28)&lt;=$P$21,INDEX('Dog popn'!$C$5:C29,SMALL(IF(dogstage=2,IF(dogstatus=0,ROW(dogstatus)-ROW('Dog popn'!$E$5)+1)),ROWS(Q$20:Q28))),"")</f>
        <v/>
      </c>
      <c r="R28" s="89" t="str">
        <f t="array" ref="R28">IF(ROWS(R$20:R28)&lt;=$P$21,INDEX('Dog popn'!$C$5:$C$7,SMALL(IF(dogstage=2,IF(dogstatus=1,ROW(dogstatus)-ROW('Dog popn'!$E$5)+1)),ROWS(R$20:R28))),"")</f>
        <v/>
      </c>
      <c r="S28" s="56"/>
      <c r="T28" s="143" t="str">
        <f t="array" ref="T28">IF(ROWS(T$20:T28)&lt;=$S$21,INDEX('Cross-cutting issues'!$C$5:$C$19,SMALL(IF(crossstage=2,IF(crossstatus=0,ROW(crossstatus)-ROW('Cross-cutting issues'!$E$5)+1)),ROWS(T$20:T28))),"")</f>
        <v/>
      </c>
      <c r="U28" s="55" t="str">
        <f t="array" ref="U28">IF(ROWS(U$20:U28)&lt;=$S$22,INDEX('Cross-cutting issues'!$C$5:$C$19,SMALL(IF(crossstage=2,IF(crossstatus=1,ROW(crossstatus)-ROW('Cross-cutting issues'!$E$5)+1)),ROWS(U$20:U28))),"")</f>
        <v/>
      </c>
    </row>
    <row r="29" spans="1:21" s="52" customFormat="1" ht="76.5">
      <c r="A29" s="156">
        <v>3</v>
      </c>
      <c r="B29" s="136" t="str">
        <f t="array" ref="B29">IF(ROWS(B$29:B29)&lt;=$A$30,INDEX(Legislation!$C$5:$C$16,SMALL(IF(STAGE=3,IF(STATUS=0,ROW(STATUS)-ROW(Legislation!$E$5)+1)),ROWS(B$29:B29))),"")</f>
        <v/>
      </c>
      <c r="C29" s="87" t="str">
        <f t="array" ref="C29">IF(ROWS(C$29:C29)&lt;=$A$31,INDEX(Legislation!$C$5:$C$16,SMALL(IF(STAGE=3,IF(STATUS=1,ROW(STATUS)-ROW(Legislation!$E$5)+1)),ROWS(C$29:C29))),"")</f>
        <v/>
      </c>
      <c r="D29" s="62"/>
      <c r="E29" s="138" t="str">
        <f t="array" ref="E29">IF(ROWS(E$29:E29)&lt;=$D$30,INDEX('Data coll &amp; ax'!$C$5:$C$13,SMALL(IF(datastage=3,IF(datastatus=0,ROW(datastatus)-ROW('Data coll &amp; ax'!$E$5)+1)),ROWS(E$29:E29))),"")</f>
        <v>Vigorous surveillance is being conducted</v>
      </c>
      <c r="F29" s="88" t="str">
        <f t="array" ref="F29">IF(ROWS(F$29:F29)&lt;=$D$31,INDEX('Data coll &amp; ax'!$C$5:$C$13,SMALL(IF(datastage=3,IF(datastatus=1,ROW(datastatus)-ROW('Data coll &amp; ax'!$E$5)+1)),ROWS(F$29:F29))),"")</f>
        <v/>
      </c>
      <c r="G29" s="54"/>
      <c r="H29" s="141" t="str">
        <f t="array" ref="H29">IF(ROWS(H$29:H29)&lt;=$G$30,INDEX('Lab dx'!$C$5:$C$14,SMALL(IF(labstage=3,IF(labstatus=0,ROW(labstatus)-ROW('Lab dx'!$E$5)+1)),ROWS(H$29:H29))),"")</f>
        <v>Laboratory diagnosis is available at central and provincial or district levels for animal samples</v>
      </c>
      <c r="I29" s="50" t="str">
        <f t="array" ref="I29">IF(ROWS(I$29:I29)&lt;=$G$31,INDEX('Lab dx'!$C$5:$C$14,SMALL(IF(labstage=3,IF(labstatus=1,ROW(labstatus)-ROW('Lab dx'!$F$5)+1)),ROWS(I$29:I29))),"")</f>
        <v/>
      </c>
      <c r="J29" s="51"/>
      <c r="K29" s="136" t="str">
        <f t="array" ref="K29">IF(ROWS(K$29:K29)&lt;=$J$30,INDEX(IEC!$C$5:$C$22,SMALL(IF(iecstage=3,IF(iecstatus=0,ROW(iecstatus)-ROW(IEC!$E$5)+1)),ROWS(K$29:K29))),"")</f>
        <v>Continue public awareness campaigns</v>
      </c>
      <c r="L29" s="87" t="str">
        <f t="array" ref="L29">IF(ROWS(L$29:L29)&lt;=$J$31,INDEX(IEC!$C$5:$C$22,SMALL(IF(iecstage=3,IF(iecstatus=1,ROW(iecstatus)-ROW(IEC!$E$5)+1)),ROWS(L$29:L29))),"")</f>
        <v>Communication plan on approaching rabies elimination is being elaborated and publicized</v>
      </c>
      <c r="M29" s="57"/>
      <c r="N29" s="141" t="str">
        <f t="array" ref="N29">IF(ROWS(N$29:N29)&lt;=$M$30,INDEX('Prev &amp; Ctrl'!$C$5:$C$28,SMALL(IF(prevstage=3,IF(prevstatus=0,ROW(prevstatus)-ROW('Prev &amp; Ctrl'!$E$5)+1)),ROWS(N$29:N29))),"")</f>
        <v>Timely supply of and access to quality human biologics are assured throughout the country (e.g. Pre- and Post- Exposure Prophylaxis available to high risk and exposed individuals throughout the country)</v>
      </c>
      <c r="O29" s="50" t="str">
        <f t="array" ref="O29">IF(ROWS(O$29:O29)&lt;=$M$31,INDEX('Prev &amp; Ctrl'!$C$5:$C$28,SMALL(IF(prevstage=3,IF(prevstatus=1,ROW(prevstatus)-ROW('Prev &amp; Ctrl'!$E$5)+1)),ROWS(O$29:O29))),"")</f>
        <v>Professionals have been trained in outbreak response and investigation</v>
      </c>
      <c r="P29" s="51"/>
      <c r="Q29" s="136" t="str">
        <f t="array" ref="Q29">IF(ROWS(Q$29:Q29)&lt;=$P$30,INDEX('Dog popn'!$C$5:C30,SMALL(IF(dogstage=3,IF(dogstatus=0,ROW(dogstatus)-ROW('Dog popn'!$E$5)+1)),ROWS(Q$29:Q29))),"")</f>
        <v>More detailed dog ecology and KAP surveys, with refinement of strategy as indicated</v>
      </c>
      <c r="R29" s="87" t="str">
        <f t="array" ref="R29">IF(ROWS(R$29:R29)&lt;=$P$31,INDEX('Dog popn'!$C$5:$C$7,SMALL(IF(dogstage=3,IF(dogstatus=1,ROW(dogstatus)-ROW('Dog popn'!$E$5)+1)),ROWS(R$29:R29))),"")</f>
        <v/>
      </c>
      <c r="S29" s="51"/>
      <c r="T29" s="141" t="str">
        <f t="array" ref="T29">IF(ROWS(T$29:T29)&lt;=$S$30,INDEX('Cross-cutting issues'!$C$5:$C$19,SMALL(IF(crossstage=3,IF(crossstatus=0,ROW(crossstatus)-ROW('Cross-cutting issues'!$E$5)+1)),ROWS(T$29:T29))),"")</f>
        <v>Evaluation of dog  rabies interventions (eg post-vaccination surveys)</v>
      </c>
      <c r="U29" s="50" t="str">
        <f t="array" ref="U29">IF(ROWS(U$29:U29)&lt;=$S$31,INDEX('Cross-cutting issues'!$C$5:$C$19,SMALL(IF(crossstage=3,IF(crossstatus=1,ROW(crossstatus)-ROW('Cross-cutting issues'!$E$5)+1)),ROWS(U$29:U29))),"")</f>
        <v/>
      </c>
    </row>
    <row r="30" spans="1:21" s="52" customFormat="1" ht="51">
      <c r="A30" s="149">
        <f>SUMPRODUCT((STAGE=3)*(STATUS=0))</f>
        <v>0</v>
      </c>
      <c r="B30" s="138" t="str">
        <f t="array" ref="B30">IF(ROWS(B$29:B30)&lt;=$A$30,INDEX(Legislation!$C$5:$C$16,SMALL(IF(STAGE=3,IF(STATUS=0,ROW(STATUS)-ROW(Legislation!$E$5)+1)),ROWS(B$29:B30))),"")</f>
        <v/>
      </c>
      <c r="C30" s="88" t="str">
        <f t="array" ref="C30">IF(ROWS(C$29:C30)&lt;=$A$31,INDEX(Legislation!$C$5:$C$16,SMALL(IF(STAGE=3,IF(STATUS=1,ROW(STATUS)-ROW(Legislation!$E$5)+1)),ROWS(C$29:C30))),"")</f>
        <v/>
      </c>
      <c r="D30" s="63">
        <f>SUMPRODUCT(((datastage=3)*(datastatus=0)))</f>
        <v>2</v>
      </c>
      <c r="E30" s="138" t="str">
        <f t="array" ref="E30">IF(ROWS(E$29:E30)&lt;=$D$30,INDEX('Data coll &amp; ax'!$C$5:$C$13,SMALL(IF(datastage=3,IF(datastatus=0,ROW(datastatus)-ROW('Data coll &amp; ax'!$E$5)+1)),ROWS(E$29:E30))),"")</f>
        <v>Collection of health economic data on rabies control at national level has been ongoing</v>
      </c>
      <c r="F30" s="88" t="str">
        <f t="array" ref="F30">IF(ROWS(F$29:F30)&lt;=$D$31,INDEX('Data coll &amp; ax'!$C$5:$C$13,SMALL(IF(datastage=3,IF(datastatus=1,ROW(datastatus)-ROW('Data coll &amp; ax'!$E$5)+1)),ROWS(F$29:F30))),"")</f>
        <v/>
      </c>
      <c r="G30" s="54">
        <f>SUMPRODUCT((labstage=3)*(labstatus=0))</f>
        <v>3</v>
      </c>
      <c r="H30" s="142" t="str">
        <f t="array" ref="H30">IF(ROWS(H$29:H30)&lt;=$G$30,INDEX('Lab dx'!$C$5:$C$14,SMALL(IF(labstage=3,IF(labstatus=0,ROW(labstatus)-ROW('Lab dx'!$E$5)+1)),ROWS(H$29:H30))),"")</f>
        <v>Laboratory diagnosis is available at central and provincial or district levels for human samples</v>
      </c>
      <c r="I30" s="53" t="str">
        <f t="array" ref="I30">IF(ROWS(I$29:I30)&lt;=$G$31,INDEX('Lab dx'!$C$5:$C$14,SMALL(IF(labstage=3,IF(labstatus=1,ROW(labstatus)-ROW('Lab dx'!$F$5)+1)),ROWS(I$29:I30))),"")</f>
        <v/>
      </c>
      <c r="J30" s="54">
        <f>SUMPRODUCT((iecstage=3)*(iecstatus=0))</f>
        <v>2</v>
      </c>
      <c r="K30" s="138" t="str">
        <f t="array" ref="K30">IF(ROWS(K$29:K30)&lt;=$J$30,INDEX(IEC!$C$5:$C$22,SMALL(IF(iecstage=3,IF(iecstatus=0,ROW(iecstatus)-ROW(IEC!$E$5)+1)),ROWS(K$29:K30))),"")</f>
        <v>Responsible dog ownership promotion has been included into regular rabies awareness campaigns</v>
      </c>
      <c r="L30" s="88" t="str">
        <f t="array" ref="L30">IF(ROWS(L$29:L30)&lt;=$J$31,INDEX(IEC!$C$5:$C$22,SMALL(IF(iecstage=3,IF(iecstatus=1,ROW(iecstatus)-ROW(IEC!$E$5)+1)),ROWS(L$29:L30))),"")</f>
        <v/>
      </c>
      <c r="M30" s="58">
        <f>SUMPRODUCT((prevstage=3)*(prevstatus=0))</f>
        <v>3</v>
      </c>
      <c r="N30" s="142" t="str">
        <f t="array" ref="N30">IF(ROWS(N$29:N30)&lt;=$M$30,INDEX('Prev &amp; Ctrl'!$C$5:$C$28,SMALL(IF(prevstage=3,IF(prevstatus=0,ROW(prevstatus)-ROW('Prev &amp; Ctrl'!$E$5)+1)),ROWS(N$29:N30))),"")</f>
        <v>Thorough (70% of the total dog population) mass dog vaccination campaigns are conducted as scheduled throughout the country</v>
      </c>
      <c r="O30" s="53" t="str">
        <f t="array" ref="O30">IF(ROWS(O$29:O30)&lt;=$M$31,INDEX('Prev &amp; Ctrl'!$C$5:$C$28,SMALL(IF(prevstage=3,IF(prevstatus=1,ROW(prevstatus)-ROW('Prev &amp; Ctrl'!$E$5)+1)),ROWS(O$29:O30))),"")</f>
        <v>Facilities for veterinary observation of rabies-suspect biting dog comply with international animal welfare regulations</v>
      </c>
      <c r="P30" s="54">
        <f>SUMPRODUCT((dogstage=3)*(dogstatus=0))</f>
        <v>2</v>
      </c>
      <c r="Q30" s="138" t="str">
        <f t="array" ref="Q30">IF(ROWS(Q$29:Q30)&lt;=$P$30,INDEX('Dog popn'!$C$5:C31,SMALL(IF(dogstage=3,IF(dogstatus=0,ROW(dogstatus)-ROW('Dog popn'!$E$5)+1)),ROWS(Q$29:Q30))),"")</f>
        <v>Responsible dog ownership promotion has been included into regular rabies awareness campaigns</v>
      </c>
      <c r="R30" s="88" t="str">
        <f t="array" ref="R30">IF(ROWS(R$29:R30)&lt;=$P$31,INDEX('Dog popn'!$C$5:$C$7,SMALL(IF(dogstage=3,IF(dogstatus=1,ROW(dogstatus)-ROW('Dog popn'!$E$5)+1)),ROWS(R$29:R30))),"")</f>
        <v/>
      </c>
      <c r="S30" s="54">
        <f>SUMPRODUCT((crossstage=3)*(crossstatus=0))</f>
        <v>3</v>
      </c>
      <c r="T30" s="142" t="str">
        <f t="array" ref="T30">IF(ROWS(T$29:T30)&lt;=$S$30,INDEX('Cross-cutting issues'!$C$5:$C$19,SMALL(IF(crossstage=3,IF(crossstatus=0,ROW(crossstatus)-ROW('Cross-cutting issues'!$E$5)+1)),ROWS(T$29:T30))),"")</f>
        <v>Evaluation of human rabies interventions (eg PEP monitoring human patients)</v>
      </c>
      <c r="U30" s="53" t="str">
        <f t="array" ref="U30">IF(ROWS(U$29:U30)&lt;=$S$31,INDEX('Cross-cutting issues'!$C$5:$C$19,SMALL(IF(crossstage=3,IF(crossstatus=1,ROW(crossstatus)-ROW('Cross-cutting issues'!$E$5)+1)),ROWS(U$29:U30))),"")</f>
        <v/>
      </c>
    </row>
    <row r="31" spans="1:21" s="52" customFormat="1" ht="51">
      <c r="A31" s="149">
        <f>SUMPRODUCT((STAGE=3)*(STATUS=1))</f>
        <v>0</v>
      </c>
      <c r="B31" s="138" t="str">
        <f t="array" ref="B31">IF(ROWS(B$29:B31)&lt;=$A$30,INDEX(Legislation!$C$5:$C$16,SMALL(IF(STAGE=3,IF(STATUS=0,ROW(STATUS)-ROW(Legislation!$E$5)+1)),ROWS(B$29:B31))),"")</f>
        <v/>
      </c>
      <c r="C31" s="88" t="str">
        <f t="array" ref="C31">IF(ROWS(C$29:C31)&lt;=$A$31,INDEX(Legislation!$C$5:$C$16,SMALL(IF(STAGE=3,IF(STATUS=1,ROW(STATUS)-ROW(Legislation!$E$5)+1)),ROWS(C$29:C31))),"")</f>
        <v/>
      </c>
      <c r="D31" s="63">
        <f>SUMPRODUCT((datastage=3)*(datastatus=1))</f>
        <v>0</v>
      </c>
      <c r="E31" s="138" t="str">
        <f t="array" ref="E31">IF(ROWS(E$29:E31)&lt;=$D$30,INDEX('Data coll &amp; ax'!$C$5:$C$13,SMALL(IF(datastage=3,IF(datastatus=0,ROW(datastatus)-ROW('Data coll &amp; ax'!$E$5)+1)),ROWS(E$29:E31))),"")</f>
        <v/>
      </c>
      <c r="F31" s="88" t="str">
        <f t="array" ref="F31">IF(ROWS(F$29:F31)&lt;=$D$31,INDEX('Data coll &amp; ax'!$C$5:$C$13,SMALL(IF(datastage=3,IF(datastatus=1,ROW(datastatus)-ROW('Data coll &amp; ax'!$E$5)+1)),ROWS(F$29:F31))),"")</f>
        <v/>
      </c>
      <c r="G31" s="54">
        <f>SUMPRODUCT((labstage=3)*(labstatus=1))</f>
        <v>0</v>
      </c>
      <c r="H31" s="142" t="str">
        <f t="array" ref="H31">IF(ROWS(H$29:H31)&lt;=$G$30,INDEX('Lab dx'!$C$5:$C$14,SMALL(IF(labstage=3,IF(labstatus=0,ROW(labstatus)-ROW('Lab dx'!$E$5)+1)),ROWS(H$29:H31))),"")</f>
        <v>Possibility for isolation of rabies virus variants has been identified (molecular epidemiology) inside or outside the country</v>
      </c>
      <c r="I31" s="53" t="str">
        <f t="array" ref="I31">IF(ROWS(I$29:I31)&lt;=$G$31,INDEX('Lab dx'!$C$5:$C$14,SMALL(IF(labstage=3,IF(labstatus=1,ROW(labstatus)-ROW('Lab dx'!$F$5)+1)),ROWS(I$29:I31))),"")</f>
        <v/>
      </c>
      <c r="J31" s="54">
        <f>SUMPRODUCT((iecstage=3)*(iecstatus=1))</f>
        <v>1</v>
      </c>
      <c r="K31" s="138" t="str">
        <f t="array" ref="K31">IF(ROWS(K$29:K31)&lt;=$J$30,INDEX(IEC!$C$5:$C$22,SMALL(IF(iecstage=3,IF(iecstatus=0,ROW(iecstatus)-ROW(IEC!$E$5)+1)),ROWS(K$29:K31))),"")</f>
        <v/>
      </c>
      <c r="L31" s="88" t="str">
        <f t="array" ref="L31">IF(ROWS(L$29:L31)&lt;=$J$31,INDEX(IEC!$C$5:$C$22,SMALL(IF(iecstage=3,IF(iecstatus=1,ROW(iecstatus)-ROW(IEC!$E$5)+1)),ROWS(L$29:L31))),"")</f>
        <v/>
      </c>
      <c r="M31" s="58">
        <f>SUMPRODUCT((prevstage=3)*(prevstatus=1))</f>
        <v>2</v>
      </c>
      <c r="N31" s="142" t="str">
        <f t="array" ref="N31">IF(ROWS(N$29:N31)&lt;=$M$30,INDEX('Prev &amp; Ctrl'!$C$5:$C$28,SMALL(IF(prevstage=3,IF(prevstatus=0,ROW(prevstatus)-ROW('Prev &amp; Ctrl'!$E$5)+1)),ROWS(N$29:N31))),"")</f>
        <v>Facilities for veterinary observation of rabies-suspect biting dog have been established in sufficient number</v>
      </c>
      <c r="O31" s="53" t="str">
        <f t="array" ref="O31">IF(ROWS(O$29:O31)&lt;=$M$31,INDEX('Prev &amp; Ctrl'!$C$5:$C$28,SMALL(IF(prevstage=3,IF(prevstatus=1,ROW(prevstatus)-ROW('Prev &amp; Ctrl'!$E$5)+1)),ROWS(O$29:O31))),"")</f>
        <v/>
      </c>
      <c r="P31" s="54">
        <f>SUMPRODUCT((dogstage=3)*(dogstatus=1))</f>
        <v>0</v>
      </c>
      <c r="Q31" s="138" t="str">
        <f t="array" ref="Q31">IF(ROWS(Q$29:Q31)&lt;=$P$30,INDEX('Dog popn'!$C$5:C32,SMALL(IF(dogstage=3,IF(dogstatus=0,ROW(dogstatus)-ROW('Dog popn'!$E$5)+1)),ROWS(Q$29:Q31))),"")</f>
        <v/>
      </c>
      <c r="R31" s="88" t="str">
        <f t="array" ref="R31">IF(ROWS(R$29:R31)&lt;=$P$31,INDEX('Dog popn'!$C$5:$C$7,SMALL(IF(dogstage=3,IF(dogstatus=1,ROW(dogstatus)-ROW('Dog popn'!$E$5)+1)),ROWS(R$29:R31))),"")</f>
        <v/>
      </c>
      <c r="S31" s="54">
        <f>SUMPRODUCT((crossstage=3)*(crossstatus=1))</f>
        <v>0</v>
      </c>
      <c r="T31" s="142" t="str">
        <f t="array" ref="T31">IF(ROWS(T$29:T31)&lt;=$S$30,INDEX('Cross-cutting issues'!$C$5:$C$19,SMALL(IF(crossstage=3,IF(crossstatus=0,ROW(crossstatus)-ROW('Cross-cutting issues'!$E$5)+1)),ROWS(T$29:T31))),"")</f>
        <v>The epidemiological situation has been reviewed and national programme and strategy have been adapted as needed</v>
      </c>
      <c r="U31" s="53" t="str">
        <f t="array" ref="U31">IF(ROWS(U$29:U31)&lt;=$S$31,INDEX('Cross-cutting issues'!$C$5:$C$19,SMALL(IF(crossstage=3,IF(crossstatus=1,ROW(crossstatus)-ROW('Cross-cutting issues'!$E$5)+1)),ROWS(U$29:U31))),"")</f>
        <v/>
      </c>
    </row>
    <row r="32" spans="1:21" s="52" customFormat="1">
      <c r="A32" s="150"/>
      <c r="B32" s="138" t="str">
        <f t="array" ref="B32">IF(ROWS(B$29:B32)&lt;=$A$30,INDEX(Legislation!$C$5:$C$16,SMALL(IF(STAGE=3,IF(STATUS=0,ROW(STATUS)-ROW(Legislation!$E$5)+1)),ROWS(B$29:B32))),"")</f>
        <v/>
      </c>
      <c r="C32" s="88" t="str">
        <f t="array" ref="C32">IF(ROWS(C$29:C32)&lt;=$A$31,INDEX(Legislation!$C$5:$C$16,SMALL(IF(STAGE=3,IF(STATUS=1,ROW(STATUS)-ROW(Legislation!$E$5)+1)),ROWS(C$29:C32))),"")</f>
        <v/>
      </c>
      <c r="D32" s="63"/>
      <c r="E32" s="138" t="str">
        <f t="array" ref="E32">IF(ROWS(E$29:E32)&lt;=$D$30,INDEX('Data coll &amp; ax'!$C$5:$C$13,SMALL(IF(datastage=3,IF(datastatus=0,ROW(datastatus)-ROW('Data coll &amp; ax'!$E$5)+1)),ROWS(E$29:E32))),"")</f>
        <v/>
      </c>
      <c r="F32" s="88" t="str">
        <f t="array" ref="F32">IF(ROWS(F$29:F32)&lt;=$D$31,INDEX('Data coll &amp; ax'!$C$5:$C$13,SMALL(IF(datastage=3,IF(datastatus=1,ROW(datastatus)-ROW('Data coll &amp; ax'!$E$5)+1)),ROWS(F$29:F32))),"")</f>
        <v/>
      </c>
      <c r="G32" s="54"/>
      <c r="H32" s="142" t="str">
        <f t="array" ref="H32">IF(ROWS(H$29:H32)&lt;=$G$30,INDEX('Lab dx'!$C$5:$C$14,SMALL(IF(labstage=3,IF(labstatus=0,ROW(labstatus)-ROW('Lab dx'!$E$5)+1)),ROWS(H$29:H32))),"")</f>
        <v/>
      </c>
      <c r="I32" s="53" t="str">
        <f t="array" ref="I32">IF(ROWS(I$29:I32)&lt;=$G$31,INDEX('Lab dx'!$C$5:$C$14,SMALL(IF(labstage=3,IF(labstatus=1,ROW(labstatus)-ROW('Lab dx'!$F$5)+1)),ROWS(I$29:I32))),"")</f>
        <v/>
      </c>
      <c r="J32" s="54"/>
      <c r="K32" s="138" t="str">
        <f t="array" ref="K32">IF(ROWS(K$29:K32)&lt;=$J$30,INDEX(IEC!$C$5:$C$22,SMALL(IF(iecstage=3,IF(iecstatus=0,ROW(iecstatus)-ROW(IEC!$E$5)+1)),ROWS(K$29:K32))),"")</f>
        <v/>
      </c>
      <c r="L32" s="88" t="str">
        <f t="array" ref="L32">IF(ROWS(L$29:L32)&lt;=$J$31,INDEX(IEC!$C$5:$C$22,SMALL(IF(iecstage=3,IF(iecstatus=1,ROW(iecstatus)-ROW(IEC!$E$5)+1)),ROWS(L$29:L32))),"")</f>
        <v/>
      </c>
      <c r="M32" s="58"/>
      <c r="N32" s="142" t="str">
        <f t="array" ref="N32">IF(ROWS(N$29:N32)&lt;=$M$30,INDEX('Prev &amp; Ctrl'!$C$5:$C$28,SMALL(IF(prevstage=3,IF(prevstatus=0,ROW(prevstatus)-ROW('Prev &amp; Ctrl'!$E$5)+1)),ROWS(N$29:N32))),"")</f>
        <v/>
      </c>
      <c r="O32" s="53" t="str">
        <f t="array" ref="O32">IF(ROWS(O$29:O32)&lt;=$M$31,INDEX('Prev &amp; Ctrl'!$C$5:$C$28,SMALL(IF(prevstage=3,IF(prevstatus=1,ROW(prevstatus)-ROW('Prev &amp; Ctrl'!$E$5)+1)),ROWS(O$29:O32))),"")</f>
        <v/>
      </c>
      <c r="P32" s="54"/>
      <c r="Q32" s="138" t="str">
        <f t="array" ref="Q32">IF(ROWS(Q$29:Q32)&lt;=$P$30,INDEX('Dog popn'!$C$5:C33,SMALL(IF(dogstage=3,IF(dogstatus=0,ROW(dogstatus)-ROW('Dog popn'!$E$5)+1)),ROWS(Q$29:Q32))),"")</f>
        <v/>
      </c>
      <c r="R32" s="88" t="str">
        <f t="array" ref="R32">IF(ROWS(R$29:R32)&lt;=$P$31,INDEX('Dog popn'!$C$5:$C$7,SMALL(IF(dogstage=3,IF(dogstatus=1,ROW(dogstatus)-ROW('Dog popn'!$E$5)+1)),ROWS(R$29:R32))),"")</f>
        <v/>
      </c>
      <c r="S32" s="54"/>
      <c r="T32" s="142" t="str">
        <f t="array" ref="T32">IF(ROWS(T$29:T32)&lt;=$S$30,INDEX('Cross-cutting issues'!$C$5:$C$19,SMALL(IF(crossstage=3,IF(crossstatus=0,ROW(crossstatus)-ROW('Cross-cutting issues'!$E$5)+1)),ROWS(T$29:T32))),"")</f>
        <v/>
      </c>
      <c r="U32" s="53" t="str">
        <f t="array" ref="U32">IF(ROWS(U$29:U32)&lt;=$S$31,INDEX('Cross-cutting issues'!$C$5:$C$19,SMALL(IF(crossstage=3,IF(crossstatus=1,ROW(crossstatus)-ROW('Cross-cutting issues'!$E$5)+1)),ROWS(U$29:U32))),"")</f>
        <v/>
      </c>
    </row>
    <row r="33" spans="1:21" s="52" customFormat="1">
      <c r="A33" s="150"/>
      <c r="B33" s="138" t="str">
        <f t="array" ref="B33">IF(ROWS(B$29:B33)&lt;=$A$30,INDEX(Legislation!$C$5:$C$16,SMALL(IF(STAGE=3,IF(STATUS=0,ROW(STATUS)-ROW(Legislation!$E$5)+1)),ROWS(B$29:B33))),"")</f>
        <v/>
      </c>
      <c r="C33" s="88" t="str">
        <f t="array" ref="C33">IF(ROWS(C$29:C33)&lt;=$A$31,INDEX(Legislation!$C$5:$C$16,SMALL(IF(STAGE=3,IF(STATUS=1,ROW(STATUS)-ROW(Legislation!$E$5)+1)),ROWS(C$29:C33))),"")</f>
        <v/>
      </c>
      <c r="D33" s="63"/>
      <c r="E33" s="138" t="str">
        <f t="array" ref="E33">IF(ROWS(E$29:E33)&lt;=$D$30,INDEX('Data coll &amp; ax'!$C$5:$C$13,SMALL(IF(datastage=3,IF(datastatus=0,ROW(datastatus)-ROW('Data coll &amp; ax'!$E$5)+1)),ROWS(E$29:E33))),"")</f>
        <v/>
      </c>
      <c r="F33" s="88" t="str">
        <f t="array" ref="F33">IF(ROWS(F$29:F33)&lt;=$D$31,INDEX('Data coll &amp; ax'!$C$5:$C$13,SMALL(IF(datastage=3,IF(datastatus=1,ROW(datastatus)-ROW('Data coll &amp; ax'!$E$5)+1)),ROWS(F$29:F33))),"")</f>
        <v/>
      </c>
      <c r="G33" s="54"/>
      <c r="H33" s="142" t="str">
        <f t="array" ref="H33">IF(ROWS(H$29:H33)&lt;=$G$30,INDEX('Lab dx'!$C$5:$C$14,SMALL(IF(labstage=3,IF(labstatus=0,ROW(labstatus)-ROW('Lab dx'!$E$5)+1)),ROWS(H$29:H33))),"")</f>
        <v/>
      </c>
      <c r="I33" s="53" t="str">
        <f t="array" ref="I33">IF(ROWS(I$29:I33)&lt;=$G$31,INDEX('Lab dx'!$C$5:$C$14,SMALL(IF(labstage=3,IF(labstatus=1,ROW(labstatus)-ROW('Lab dx'!$F$5)+1)),ROWS(I$29:I33))),"")</f>
        <v/>
      </c>
      <c r="J33" s="54"/>
      <c r="K33" s="138" t="str">
        <f t="array" ref="K33">IF(ROWS(K$29:K33)&lt;=$J$30,INDEX(IEC!$C$5:$C$22,SMALL(IF(iecstage=3,IF(iecstatus=0,ROW(iecstatus)-ROW(IEC!$E$5)+1)),ROWS(K$29:K33))),"")</f>
        <v/>
      </c>
      <c r="L33" s="88" t="str">
        <f t="array" ref="L33">IF(ROWS(L$29:L33)&lt;=$J$31,INDEX(IEC!$C$5:$C$22,SMALL(IF(iecstage=3,IF(iecstatus=1,ROW(iecstatus)-ROW(IEC!$E$5)+1)),ROWS(L$29:L33))),"")</f>
        <v/>
      </c>
      <c r="M33" s="58"/>
      <c r="N33" s="142" t="str">
        <f t="array" ref="N33">IF(ROWS(N$29:N33)&lt;=$M$30,INDEX('Prev &amp; Ctrl'!$C$5:$C$28,SMALL(IF(prevstage=3,IF(prevstatus=0,ROW(prevstatus)-ROW('Prev &amp; Ctrl'!$E$5)+1)),ROWS(N$29:N33))),"")</f>
        <v/>
      </c>
      <c r="O33" s="53" t="str">
        <f t="array" ref="O33">IF(ROWS(O$29:O33)&lt;=$M$31,INDEX('Prev &amp; Ctrl'!$C$5:$C$28,SMALL(IF(prevstage=3,IF(prevstatus=1,ROW(prevstatus)-ROW('Prev &amp; Ctrl'!$E$5)+1)),ROWS(O$29:O33))),"")</f>
        <v/>
      </c>
      <c r="P33" s="54"/>
      <c r="Q33" s="138" t="str">
        <f t="array" ref="Q33">IF(ROWS(Q$29:Q33)&lt;=$P$30,INDEX('Dog popn'!$C$5:C34,SMALL(IF(dogstage=3,IF(dogstatus=0,ROW(dogstatus)-ROW('Dog popn'!$E$5)+1)),ROWS(Q$29:Q33))),"")</f>
        <v/>
      </c>
      <c r="R33" s="88" t="str">
        <f t="array" ref="R33">IF(ROWS(R$29:R33)&lt;=$P$31,INDEX('Dog popn'!$C$5:$C$7,SMALL(IF(dogstage=3,IF(dogstatus=1,ROW(dogstatus)-ROW('Dog popn'!$E$5)+1)),ROWS(R$29:R33))),"")</f>
        <v/>
      </c>
      <c r="S33" s="54"/>
      <c r="T33" s="142" t="str">
        <f t="array" ref="T33">IF(ROWS(T$29:T33)&lt;=$S$30,INDEX('Cross-cutting issues'!$C$5:$C$19,SMALL(IF(crossstage=3,IF(crossstatus=0,ROW(crossstatus)-ROW('Cross-cutting issues'!$E$5)+1)),ROWS(T$29:T33))),"")</f>
        <v/>
      </c>
      <c r="U33" s="53" t="str">
        <f t="array" ref="U33">IF(ROWS(U$29:U33)&lt;=$S$31,INDEX('Cross-cutting issues'!$C$5:$C$19,SMALL(IF(crossstage=3,IF(crossstatus=1,ROW(crossstatus)-ROW('Cross-cutting issues'!$E$5)+1)),ROWS(U$29:U33))),"")</f>
        <v/>
      </c>
    </row>
    <row r="34" spans="1:21" s="52" customFormat="1">
      <c r="A34" s="150"/>
      <c r="B34" s="138" t="str">
        <f t="array" ref="B34">IF(ROWS(B$29:B34)&lt;=$A$30,INDEX(Legislation!$C$5:$C$16,SMALL(IF(STAGE=3,IF(STATUS=0,ROW(STATUS)-ROW(Legislation!$E$5)+1)),ROWS(B$29:B34))),"")</f>
        <v/>
      </c>
      <c r="C34" s="88" t="str">
        <f t="array" ref="C34">IF(ROWS(C$29:C34)&lt;=$A$31,INDEX(Legislation!$C$5:$C$16,SMALL(IF(STAGE=3,IF(STATUS=1,ROW(STATUS)-ROW(Legislation!$E$5)+1)),ROWS(C$29:C34))),"")</f>
        <v/>
      </c>
      <c r="D34" s="63"/>
      <c r="E34" s="138" t="str">
        <f t="array" ref="E34">IF(ROWS(E$29:E34)&lt;=$D$30,INDEX('Data coll &amp; ax'!$C$5:$C$13,SMALL(IF(datastage=3,IF(datastatus=0,ROW(datastatus)-ROW('Data coll &amp; ax'!$E$5)+1)),ROWS(E$29:E34))),"")</f>
        <v/>
      </c>
      <c r="F34" s="88" t="str">
        <f t="array" ref="F34">IF(ROWS(F$29:F34)&lt;=$D$31,INDEX('Data coll &amp; ax'!$C$5:$C$13,SMALL(IF(datastage=3,IF(datastatus=1,ROW(datastatus)-ROW('Data coll &amp; ax'!$E$5)+1)),ROWS(F$29:F34))),"")</f>
        <v/>
      </c>
      <c r="G34" s="54"/>
      <c r="H34" s="142" t="str">
        <f t="array" ref="H34">IF(ROWS(H$29:H34)&lt;=$G$30,INDEX('Lab dx'!$C$5:$C$14,SMALL(IF(labstage=3,IF(labstatus=0,ROW(labstatus)-ROW('Lab dx'!$E$5)+1)),ROWS(H$29:H34))),"")</f>
        <v/>
      </c>
      <c r="I34" s="53" t="str">
        <f t="array" ref="I34">IF(ROWS(I$29:I34)&lt;=$G$31,INDEX('Lab dx'!$C$5:$C$14,SMALL(IF(labstage=3,IF(labstatus=1,ROW(labstatus)-ROW('Lab dx'!$F$5)+1)),ROWS(I$29:I34))),"")</f>
        <v/>
      </c>
      <c r="J34" s="54"/>
      <c r="K34" s="138" t="str">
        <f t="array" ref="K34">IF(ROWS(K$29:K34)&lt;=$J$30,INDEX(IEC!$C$5:$C$22,SMALL(IF(iecstage=3,IF(iecstatus=0,ROW(iecstatus)-ROW(IEC!$E$5)+1)),ROWS(K$29:K34))),"")</f>
        <v/>
      </c>
      <c r="L34" s="88" t="str">
        <f t="array" ref="L34">IF(ROWS(L$29:L34)&lt;=$J$31,INDEX(IEC!$C$5:$C$22,SMALL(IF(iecstage=3,IF(iecstatus=1,ROW(iecstatus)-ROW(IEC!$E$5)+1)),ROWS(L$29:L34))),"")</f>
        <v/>
      </c>
      <c r="M34" s="58"/>
      <c r="N34" s="142" t="str">
        <f t="array" ref="N34">IF(ROWS(N$29:N34)&lt;=$M$30,INDEX('Prev &amp; Ctrl'!$C$5:$C$28,SMALL(IF(prevstage=3,IF(prevstatus=0,ROW(prevstatus)-ROW('Prev &amp; Ctrl'!$E$5)+1)),ROWS(N$29:N34))),"")</f>
        <v/>
      </c>
      <c r="O34" s="53" t="str">
        <f t="array" ref="O34">IF(ROWS(O$29:O34)&lt;=$M$31,INDEX('Prev &amp; Ctrl'!$C$5:$C$28,SMALL(IF(prevstage=3,IF(prevstatus=1,ROW(prevstatus)-ROW('Prev &amp; Ctrl'!$E$5)+1)),ROWS(O$29:O34))),"")</f>
        <v/>
      </c>
      <c r="P34" s="54"/>
      <c r="Q34" s="138" t="str">
        <f t="array" ref="Q34">IF(ROWS(Q$29:Q34)&lt;=$P$30,INDEX('Dog popn'!$C$5:C35,SMALL(IF(dogstage=3,IF(dogstatus=0,ROW(dogstatus)-ROW('Dog popn'!$E$5)+1)),ROWS(Q$29:Q34))),"")</f>
        <v/>
      </c>
      <c r="R34" s="88" t="str">
        <f t="array" ref="R34">IF(ROWS(R$29:R34)&lt;=$P$31,INDEX('Dog popn'!$C$5:$C$7,SMALL(IF(dogstage=3,IF(dogstatus=1,ROW(dogstatus)-ROW('Dog popn'!$E$5)+1)),ROWS(R$29:R34))),"")</f>
        <v/>
      </c>
      <c r="S34" s="54"/>
      <c r="T34" s="142" t="str">
        <f t="array" ref="T34">IF(ROWS(T$29:T34)&lt;=$S$30,INDEX('Cross-cutting issues'!$C$5:$C$19,SMALL(IF(crossstage=3,IF(crossstatus=0,ROW(crossstatus)-ROW('Cross-cutting issues'!$E$5)+1)),ROWS(T$29:T34))),"")</f>
        <v/>
      </c>
      <c r="U34" s="53" t="str">
        <f t="array" ref="U34">IF(ROWS(U$29:U34)&lt;=$S$31,INDEX('Cross-cutting issues'!$C$5:$C$19,SMALL(IF(crossstage=3,IF(crossstatus=1,ROW(crossstatus)-ROW('Cross-cutting issues'!$E$5)+1)),ROWS(U$29:U34))),"")</f>
        <v/>
      </c>
    </row>
    <row r="35" spans="1:21" s="52" customFormat="1">
      <c r="A35" s="150"/>
      <c r="B35" s="138" t="str">
        <f t="array" ref="B35">IF(ROWS(B$29:B35)&lt;=$A$30,INDEX(Legislation!$C$5:$C$16,SMALL(IF(STAGE=3,IF(STATUS=0,ROW(STATUS)-ROW(Legislation!$E$5)+1)),ROWS(B$29:B35))),"")</f>
        <v/>
      </c>
      <c r="C35" s="88" t="str">
        <f t="array" ref="C35">IF(ROWS(C$29:C35)&lt;=$A$31,INDEX(Legislation!$C$5:$C$16,SMALL(IF(STAGE=3,IF(STATUS=1,ROW(STATUS)-ROW(Legislation!$E$5)+1)),ROWS(C$29:C35))),"")</f>
        <v/>
      </c>
      <c r="D35" s="63"/>
      <c r="E35" s="138" t="str">
        <f t="array" ref="E35">IF(ROWS(E$29:E35)&lt;=$D$30,INDEX('Data coll &amp; ax'!$C$5:$C$13,SMALL(IF(datastage=3,IF(datastatus=0,ROW(datastatus)-ROW('Data coll &amp; ax'!$E$5)+1)),ROWS(E$29:E35))),"")</f>
        <v/>
      </c>
      <c r="F35" s="88" t="str">
        <f t="array" ref="F35">IF(ROWS(F$29:F35)&lt;=$D$31,INDEX('Data coll &amp; ax'!$C$5:$C$13,SMALL(IF(datastage=3,IF(datastatus=1,ROW(datastatus)-ROW('Data coll &amp; ax'!$E$5)+1)),ROWS(F$29:F35))),"")</f>
        <v/>
      </c>
      <c r="G35" s="54"/>
      <c r="H35" s="142" t="str">
        <f t="array" ref="H35">IF(ROWS(H$29:H35)&lt;=$G$30,INDEX('Lab dx'!$C$5:$C$14,SMALL(IF(labstage=3,IF(labstatus=0,ROW(labstatus)-ROW('Lab dx'!$E$5)+1)),ROWS(H$29:H35))),"")</f>
        <v/>
      </c>
      <c r="I35" s="53" t="str">
        <f t="array" ref="I35">IF(ROWS(I$29:I35)&lt;=$G$31,INDEX('Lab dx'!$C$5:$C$14,SMALL(IF(labstage=3,IF(labstatus=1,ROW(labstatus)-ROW('Lab dx'!$F$5)+1)),ROWS(I$29:I35))),"")</f>
        <v/>
      </c>
      <c r="J35" s="54"/>
      <c r="K35" s="138" t="str">
        <f t="array" ref="K35">IF(ROWS(K$29:K35)&lt;=$J$30,INDEX(IEC!$C$5:$C$22,SMALL(IF(iecstage=3,IF(iecstatus=0,ROW(iecstatus)-ROW(IEC!$E$5)+1)),ROWS(K$29:K35))),"")</f>
        <v/>
      </c>
      <c r="L35" s="88" t="str">
        <f t="array" ref="L35">IF(ROWS(L$29:L35)&lt;=$J$31,INDEX(IEC!$C$5:$C$22,SMALL(IF(iecstage=3,IF(iecstatus=1,ROW(iecstatus)-ROW(IEC!$E$5)+1)),ROWS(L$29:L35))),"")</f>
        <v/>
      </c>
      <c r="M35" s="58"/>
      <c r="N35" s="142" t="str">
        <f t="array" ref="N35">IF(ROWS(N$29:N35)&lt;=$M$30,INDEX('Prev &amp; Ctrl'!$C$5:$C$28,SMALL(IF(prevstage=3,IF(prevstatus=0,ROW(prevstatus)-ROW('Prev &amp; Ctrl'!$E$5)+1)),ROWS(N$29:N35))),"")</f>
        <v/>
      </c>
      <c r="O35" s="53" t="str">
        <f t="array" ref="O35">IF(ROWS(O$29:O35)&lt;=$M$31,INDEX('Prev &amp; Ctrl'!$C$5:$C$28,SMALL(IF(prevstage=3,IF(prevstatus=1,ROW(prevstatus)-ROW('Prev &amp; Ctrl'!$E$5)+1)),ROWS(O$29:O35))),"")</f>
        <v/>
      </c>
      <c r="P35" s="54"/>
      <c r="Q35" s="138" t="str">
        <f t="array" ref="Q35">IF(ROWS(Q$29:Q35)&lt;=$P$30,INDEX('Dog popn'!$C$5:C36,SMALL(IF(dogstage=3,IF(dogstatus=0,ROW(dogstatus)-ROW('Dog popn'!$E$5)+1)),ROWS(Q$29:Q35))),"")</f>
        <v/>
      </c>
      <c r="R35" s="88" t="str">
        <f t="array" ref="R35">IF(ROWS(R$29:R35)&lt;=$P$31,INDEX('Dog popn'!$C$5:$C$7,SMALL(IF(dogstage=3,IF(dogstatus=1,ROW(dogstatus)-ROW('Dog popn'!$E$5)+1)),ROWS(R$29:R35))),"")</f>
        <v/>
      </c>
      <c r="S35" s="54"/>
      <c r="T35" s="142" t="str">
        <f t="array" ref="T35">IF(ROWS(T$29:T35)&lt;=$S$30,INDEX('Cross-cutting issues'!$C$5:$C$19,SMALL(IF(crossstage=3,IF(crossstatus=0,ROW(crossstatus)-ROW('Cross-cutting issues'!$E$5)+1)),ROWS(T$29:T35))),"")</f>
        <v/>
      </c>
      <c r="U35" s="53" t="str">
        <f t="array" ref="U35">IF(ROWS(U$29:U35)&lt;=$S$31,INDEX('Cross-cutting issues'!$C$5:$C$19,SMALL(IF(crossstage=3,IF(crossstatus=1,ROW(crossstatus)-ROW('Cross-cutting issues'!$E$5)+1)),ROWS(U$29:U35))),"")</f>
        <v/>
      </c>
    </row>
    <row r="36" spans="1:21" s="52" customFormat="1">
      <c r="A36" s="150"/>
      <c r="B36" s="138" t="str">
        <f t="array" ref="B36">IF(ROWS(B$29:B36)&lt;=$A$30,INDEX(Legislation!$C$5:$C$16,SMALL(IF(STAGE=3,IF(STATUS=0,ROW(STATUS)-ROW(Legislation!$E$5)+1)),ROWS(B$29:B36))),"")</f>
        <v/>
      </c>
      <c r="C36" s="88" t="str">
        <f t="array" ref="C36">IF(ROWS(C$29:C36)&lt;=$A$31,INDEX(Legislation!$C$5:$C$16,SMALL(IF(STAGE=3,IF(STATUS=1,ROW(STATUS)-ROW(Legislation!$E$5)+1)),ROWS(C$29:C36))),"")</f>
        <v/>
      </c>
      <c r="D36" s="63"/>
      <c r="E36" s="138" t="str">
        <f t="array" ref="E36">IF(ROWS(E$29:E36)&lt;=$D$30,INDEX('Data coll &amp; ax'!$C$5:$C$13,SMALL(IF(datastage=3,IF(datastatus=0,ROW(datastatus)-ROW('Data coll &amp; ax'!$E$5)+1)),ROWS(E$29:E36))),"")</f>
        <v/>
      </c>
      <c r="F36" s="88" t="str">
        <f t="array" ref="F36">IF(ROWS(F$29:F36)&lt;=$D$31,INDEX('Data coll &amp; ax'!$C$5:$C$13,SMALL(IF(datastage=3,IF(datastatus=1,ROW(datastatus)-ROW('Data coll &amp; ax'!$E$5)+1)),ROWS(F$29:F36))),"")</f>
        <v/>
      </c>
      <c r="G36" s="54"/>
      <c r="H36" s="142" t="str">
        <f t="array" ref="H36">IF(ROWS(H$29:H36)&lt;=$G$30,INDEX('Lab dx'!$C$5:$C$14,SMALL(IF(labstage=3,IF(labstatus=0,ROW(labstatus)-ROW('Lab dx'!$E$5)+1)),ROWS(H$29:H36))),"")</f>
        <v/>
      </c>
      <c r="I36" s="53" t="str">
        <f t="array" ref="I36">IF(ROWS(I$29:I36)&lt;=$G$31,INDEX('Lab dx'!$C$5:$C$14,SMALL(IF(labstage=3,IF(labstatus=1,ROW(labstatus)-ROW('Lab dx'!$F$5)+1)),ROWS(I$29:I36))),"")</f>
        <v/>
      </c>
      <c r="J36" s="54"/>
      <c r="K36" s="138" t="str">
        <f t="array" ref="K36">IF(ROWS(K$29:K36)&lt;=$J$30,INDEX(IEC!$C$5:$C$22,SMALL(IF(iecstage=3,IF(iecstatus=0,ROW(iecstatus)-ROW(IEC!$E$5)+1)),ROWS(K$29:K36))),"")</f>
        <v/>
      </c>
      <c r="L36" s="88" t="str">
        <f t="array" ref="L36">IF(ROWS(L$29:L36)&lt;=$J$31,INDEX(IEC!$C$5:$C$22,SMALL(IF(iecstage=3,IF(iecstatus=1,ROW(iecstatus)-ROW(IEC!$E$5)+1)),ROWS(L$29:L36))),"")</f>
        <v/>
      </c>
      <c r="M36" s="58"/>
      <c r="N36" s="142" t="str">
        <f t="array" ref="N36">IF(ROWS(N$29:N36)&lt;=$M$30,INDEX('Prev &amp; Ctrl'!$C$5:$C$28,SMALL(IF(prevstage=3,IF(prevstatus=0,ROW(prevstatus)-ROW('Prev &amp; Ctrl'!$E$5)+1)),ROWS(N$29:N36))),"")</f>
        <v/>
      </c>
      <c r="O36" s="53" t="str">
        <f t="array" ref="O36">IF(ROWS(O$29:O36)&lt;=$M$31,INDEX('Prev &amp; Ctrl'!$C$5:$C$28,SMALL(IF(prevstage=3,IF(prevstatus=1,ROW(prevstatus)-ROW('Prev &amp; Ctrl'!$E$5)+1)),ROWS(O$29:O36))),"")</f>
        <v/>
      </c>
      <c r="P36" s="54"/>
      <c r="Q36" s="138" t="str">
        <f t="array" ref="Q36">IF(ROWS(Q$29:Q36)&lt;=$P$30,INDEX('Dog popn'!$C$5:C37,SMALL(IF(dogstage=3,IF(dogstatus=0,ROW(dogstatus)-ROW('Dog popn'!$E$5)+1)),ROWS(Q$29:Q36))),"")</f>
        <v/>
      </c>
      <c r="R36" s="88" t="str">
        <f t="array" ref="R36">IF(ROWS(R$29:R36)&lt;=$P$31,INDEX('Dog popn'!$C$5:$C$7,SMALL(IF(dogstage=3,IF(dogstatus=1,ROW(dogstatus)-ROW('Dog popn'!$E$5)+1)),ROWS(R$29:R36))),"")</f>
        <v/>
      </c>
      <c r="S36" s="54"/>
      <c r="T36" s="142" t="str">
        <f t="array" ref="T36">IF(ROWS(T$29:T36)&lt;=$S$30,INDEX('Cross-cutting issues'!$C$5:$C$19,SMALL(IF(crossstage=3,IF(crossstatus=0,ROW(crossstatus)-ROW('Cross-cutting issues'!$E$5)+1)),ROWS(T$29:T36))),"")</f>
        <v/>
      </c>
      <c r="U36" s="53" t="str">
        <f t="array" ref="U36">IF(ROWS(U$29:U36)&lt;=$S$31,INDEX('Cross-cutting issues'!$C$5:$C$19,SMALL(IF(crossstage=3,IF(crossstatus=1,ROW(crossstatus)-ROW('Cross-cutting issues'!$E$5)+1)),ROWS(U$29:U36))),"")</f>
        <v/>
      </c>
    </row>
    <row r="37" spans="1:21" s="52" customFormat="1">
      <c r="A37" s="151"/>
      <c r="B37" s="139" t="str">
        <f t="array" ref="B37">IF(ROWS(B$29:B37)&lt;=$A$30,INDEX(Legislation!$C$5:$C$16,SMALL(IF(STAGE=3,IF(STATUS=0,ROW(STATUS)-ROW(Legislation!$E$5)+1)),ROWS(B$29:B37))),"")</f>
        <v/>
      </c>
      <c r="C37" s="89" t="str">
        <f t="array" ref="C37">IF(ROWS(C$29:C37)&lt;=$A$31,INDEX(Legislation!$C$5:$C$16,SMALL(IF(STAGE=3,IF(STATUS=1,ROW(STATUS)-ROW(Legislation!$E$5)+1)),ROWS(C$29:C37))),"")</f>
        <v/>
      </c>
      <c r="D37" s="64"/>
      <c r="E37" s="139" t="str">
        <f t="array" ref="E37">IF(ROWS(E$29:E37)&lt;=$D$30,INDEX('Data coll &amp; ax'!$C$5:$C$13,SMALL(IF(datastage=3,IF(datastatus=0,ROW(datastatus)-ROW('Data coll &amp; ax'!$E$5)+1)),ROWS(E$29:E37))),"")</f>
        <v/>
      </c>
      <c r="F37" s="89" t="str">
        <f t="array" ref="F37">IF(ROWS(F$29:F37)&lt;=$D$31,INDEX('Data coll &amp; ax'!$C$5:$C$13,SMALL(IF(datastage=3,IF(datastatus=1,ROW(datastatus)-ROW('Data coll &amp; ax'!$E$5)+1)),ROWS(F$29:F37))),"")</f>
        <v/>
      </c>
      <c r="G37" s="56"/>
      <c r="H37" s="143" t="str">
        <f t="array" ref="H37">IF(ROWS(H$29:H37)&lt;=$G$30,INDEX('Lab dx'!$C$5:$C$14,SMALL(IF(labstage=3,IF(labstatus=0,ROW(labstatus)-ROW('Lab dx'!$E$5)+1)),ROWS(H$29:H37))),"")</f>
        <v/>
      </c>
      <c r="I37" s="55" t="str">
        <f t="array" ref="I37">IF(ROWS(I$29:I37)&lt;=$G$31,INDEX('Lab dx'!$C$5:$C$14,SMALL(IF(labstage=3,IF(labstatus=1,ROW(labstatus)-ROW('Lab dx'!$F$5)+1)),ROWS(I$29:I37))),"")</f>
        <v/>
      </c>
      <c r="J37" s="56"/>
      <c r="K37" s="139" t="str">
        <f t="array" ref="K37">IF(ROWS(K$29:K37)&lt;=$J$30,INDEX(IEC!$C$5:$C$22,SMALL(IF(iecstage=3,IF(iecstatus=0,ROW(iecstatus)-ROW(IEC!$E$5)+1)),ROWS(K$29:K37))),"")</f>
        <v/>
      </c>
      <c r="L37" s="89" t="str">
        <f t="array" ref="L37">IF(ROWS(L$29:L37)&lt;=$J$31,INDEX(IEC!$C$5:$C$22,SMALL(IF(iecstage=3,IF(iecstatus=1,ROW(iecstatus)-ROW(IEC!$E$5)+1)),ROWS(L$29:L37))),"")</f>
        <v/>
      </c>
      <c r="M37" s="59"/>
      <c r="N37" s="143" t="str">
        <f t="array" ref="N37">IF(ROWS(N$29:N37)&lt;=$M$30,INDEX('Prev &amp; Ctrl'!$C$5:$C$28,SMALL(IF(prevstage=3,IF(prevstatus=0,ROW(prevstatus)-ROW('Prev &amp; Ctrl'!$E$5)+1)),ROWS(N$29:N37))),"")</f>
        <v/>
      </c>
      <c r="O37" s="55" t="str">
        <f t="array" ref="O37">IF(ROWS(O$29:O37)&lt;=$M$31,INDEX('Prev &amp; Ctrl'!$C$5:$C$28,SMALL(IF(prevstage=3,IF(prevstatus=1,ROW(prevstatus)-ROW('Prev &amp; Ctrl'!$E$5)+1)),ROWS(O$29:O37))),"")</f>
        <v/>
      </c>
      <c r="P37" s="56"/>
      <c r="Q37" s="139" t="str">
        <f t="array" ref="Q37">IF(ROWS(Q$29:Q37)&lt;=$P$30,INDEX('Dog popn'!$C$5:C38,SMALL(IF(dogstage=3,IF(dogstatus=0,ROW(dogstatus)-ROW('Dog popn'!$E$5)+1)),ROWS(Q$29:Q37))),"")</f>
        <v/>
      </c>
      <c r="R37" s="89" t="str">
        <f t="array" ref="R37">IF(ROWS(R$29:R37)&lt;=$P$31,INDEX('Dog popn'!$C$5:$C$7,SMALL(IF(dogstage=3,IF(dogstatus=1,ROW(dogstatus)-ROW('Dog popn'!$E$5)+1)),ROWS(R$29:R37))),"")</f>
        <v/>
      </c>
      <c r="S37" s="56"/>
      <c r="T37" s="143" t="str">
        <f t="array" ref="T37">IF(ROWS(T$29:T37)&lt;=$S$30,INDEX('Cross-cutting issues'!$C$5:$C$19,SMALL(IF(crossstage=3,IF(crossstatus=0,ROW(crossstatus)-ROW('Cross-cutting issues'!$E$5)+1)),ROWS(T$29:T37))),"")</f>
        <v/>
      </c>
      <c r="U37" s="55" t="str">
        <f t="array" ref="U37">IF(ROWS(U$29:U37)&lt;=$S$31,INDEX('Cross-cutting issues'!$C$5:$C$19,SMALL(IF(crossstage=3,IF(crossstatus=1,ROW(crossstatus)-ROW('Cross-cutting issues'!$E$5)+1)),ROWS(U$29:U37))),"")</f>
        <v/>
      </c>
    </row>
    <row r="38" spans="1:21" s="52" customFormat="1" ht="51">
      <c r="A38" s="156">
        <v>4</v>
      </c>
      <c r="B38" s="136" t="str">
        <f t="array" ref="B38">IF(ROWS(B$38:B38)&lt;=$A$39,INDEX(Legislation!$C$5:$C$16,SMALL(IF(STAGE=4,IF(STATUS=0,ROW(STATUS)-ROW(Legislation!$E$5)+1)),ROWS(B$38:B38))),"")</f>
        <v/>
      </c>
      <c r="C38" s="87" t="str">
        <f t="array" ref="C38">IF(ROWS(C$38:C38)&lt;=$A$40,INDEX(Legislation!$C$5:$C$16,SMALL(IF(STAGE=4,IF(STATUS=1,ROW(STATUS)-ROW(Legislation!$E$5)+1)),ROWS(C$38:C38))),"")</f>
        <v/>
      </c>
      <c r="D38" s="62"/>
      <c r="E38" s="136" t="str">
        <f t="array" ref="E38">IF(ROWS(E$38:E38)&lt;=$D$39,INDEX('Data coll &amp; ax'!$C$5:$C$13,SMALL(IF(datastage=4,IF(datastatus=0,ROW(datastatus)-ROW('Data coll &amp; ax'!$E$5)+1)),ROWS(E$38:E38))),"")</f>
        <v/>
      </c>
      <c r="F38" s="87" t="str">
        <f t="array" ref="F38">IF(ROWS(F$38:F38)&lt;=$D$40,INDEX('Data coll &amp; ax'!$C$5:$C$13,SMALL(IF(datastage=4,IF(datastatus=1,ROW(datastatus)-ROW('Data coll &amp; ax'!$E$5)+1)),ROWS(F$38:F38))),"")</f>
        <v/>
      </c>
      <c r="G38" s="51"/>
      <c r="H38" s="141" t="str">
        <f t="array" ref="H38">IF(ROWS(H$38:H38)&lt;=$G$39,INDEX('Lab dx'!$C$5:$C$14,SMALL(IF(labstage=4,IF(labstatus=0,ROW(labstatus)-ROW('Lab dx'!$E$5)+1)),ROWS(H$38:H38))),"")</f>
        <v>An adequate number of samples from suspected cases in dogs in the country are tested on a regular basis</v>
      </c>
      <c r="I38" s="50" t="str">
        <f t="array" ref="I38">IF(ROWS(I$38:I38)&lt;=$G$40,INDEX('Lab dx'!$C$5:$C$14,SMALL(IF(labstage=4,IF(labstatus=1,ROW(labstatus)-ROW('Lab dx'!$F$5)+1)),ROWS(I$38:I38))),"")</f>
        <v/>
      </c>
      <c r="J38" s="51"/>
      <c r="K38" s="136" t="str">
        <f t="array" ref="K38">IF(ROWS(K$38:K38)&lt;=$J$39,INDEX(IEC!$C$5:$C$22,SMALL(IF(iecstage=4,IF(iecstatus=0,ROW(iecstatus)-ROW(IEC!$E$5)+1)),ROWS(K$38:K38))),"")</f>
        <v>Continue awareness programmes, have been revisited to focus on maintenance of freedom and elimination efforts</v>
      </c>
      <c r="L38" s="87" t="str">
        <f t="array" ref="L38">IF(ROWS(L$38:L38)&lt;=$J$40,INDEX(IEC!$C$5:$C$22,SMALL(IF(iecstage=4,IF(iecstatus=1,ROW(iecstatus)-ROW(IEC!$E$5)+1)),ROWS(L$38:L38))),"")</f>
        <v/>
      </c>
      <c r="M38" s="57"/>
      <c r="N38" s="141" t="str">
        <f t="array" ref="N38">IF(ROWS(N$38:N38)&lt;=$M$39,INDEX('Prev &amp; Ctrl'!$C$5:$C$28,SMALL(IF(prevstage=4,IF(prevstatus=0,ROW(prevstatus)-ROW('Prev &amp; Ctrl'!$E$5)+1)),ROWS(N$38:N38))),"")</f>
        <v>Modified protocols on criteria for PEP administration in rabies free areas have been developed</v>
      </c>
      <c r="O38" s="50" t="str">
        <f t="array" ref="O38">IF(ROWS(O$38:O38)&lt;=$M$40,INDEX('Prev &amp; Ctrl'!$C$5:$C$28,SMALL(IF(prevstage=4,IF(prevstatus=1,ROW(prevstatus)-ROW('Prev &amp; Ctrl'!$E$5)+1)),ROWS(O$38:O38))),"")</f>
        <v/>
      </c>
      <c r="P38" s="51"/>
      <c r="Q38" s="136" t="str">
        <f t="array" ref="Q38">IF(ROWS(Q$29:Q38)&lt;=$P$39,INDEX('Dog popn'!$C$5:C39,SMALL(IF(dogstage=4,IF(dogstatus=0,ROW(dogstatus)-ROW('Dog popn'!$E$5)+1)),ROWS(Q$38:Q38))),"")</f>
        <v/>
      </c>
      <c r="R38" s="87" t="str">
        <f t="array" ref="R38">IF(ROWS(R$38:R38)&lt;=$P$40,INDEX('Dog popn'!$C$5:$C$7,SMALL(IF(dogstage=4,IF(dogstatus=1,ROW(dogstatus)-ROW('Dog popn'!$E$5)+1)),ROWS(R$38:R38))),"")</f>
        <v/>
      </c>
      <c r="S38" s="51"/>
      <c r="T38" s="141" t="str">
        <f t="array" ref="T38">IF(ROWS(T$38:T38)&lt;=$S$39,INDEX('Cross-cutting issues'!$C$5:$C$19,SMALL(IF(crossstage=4,IF(crossstatus=0,ROW(crossstatus)-ROW('Cross-cutting issues'!$E$5)+1)),ROWS(T$38:T38))),"")</f>
        <v>Epidemiology situation (including wildlife, if applicable) has been reviewed and the national strategy adapted as needed</v>
      </c>
      <c r="U38" s="50" t="str">
        <f t="array" ref="U38">IF(ROWS(U$38:U38)&lt;=$S$40,INDEX('Cross-cutting issues'!$C$5:$C$19,SMALL(IF(crossstage=4,IF(crossstatus=1,ROW(crossstatus)-ROW('Cross-cutting issues'!$E$5)+1)),ROWS(U$38:U38))),"")</f>
        <v/>
      </c>
    </row>
    <row r="39" spans="1:21" s="52" customFormat="1" ht="51">
      <c r="A39" s="149">
        <f>SUMPRODUCT((STAGE=4)*(STATUS=0))</f>
        <v>0</v>
      </c>
      <c r="B39" s="138" t="str">
        <f t="array" ref="B39">IF(ROWS(B$38:B39)&lt;=$A$39,INDEX(Legislation!$C$5:$C$16,SMALL(IF(STAGE=4,IF(STATUS=0,ROW(STATUS)-ROW(Legislation!$E$5)+1)),ROWS(B$38:B39))),"")</f>
        <v/>
      </c>
      <c r="C39" s="88" t="str">
        <f t="array" ref="C39">IF(ROWS(C$38:C39)&lt;=$A$40,INDEX(Legislation!$C$5:$C$16,SMALL(IF(STAGE=4,IF(STATUS=1,ROW(STATUS)-ROW(Legislation!$E$5)+1)),ROWS(C$38:C39))),"")</f>
        <v/>
      </c>
      <c r="D39" s="63">
        <f>SUMPRODUCT((datastage=4)*(datastatus=0))</f>
        <v>0</v>
      </c>
      <c r="E39" s="138" t="str">
        <f t="array" ref="E39">IF(ROWS(E$38:E39)&lt;=$D$39,INDEX('Data coll &amp; ax'!$C$5:$C$13,SMALL(IF(datastage=4,IF(datastatus=0,ROW(datastatus)-ROW('Data coll &amp; ax'!$E$5)+1)),ROWS(E$38:E39))),"")</f>
        <v/>
      </c>
      <c r="F39" s="88" t="str">
        <f t="array" ref="F39">IF(ROWS(F$38:F39)&lt;=$D$40,INDEX('Data coll &amp; ax'!$C$5:$C$13,SMALL(IF(datastage=4,IF(datastatus=1,ROW(datastatus)-ROW('Data coll &amp; ax'!$E$5)+1)),ROWS(F$38:F39))),"")</f>
        <v/>
      </c>
      <c r="G39" s="54">
        <f>SUMPRODUCT((labstage=4)*(labstatus=0))</f>
        <v>1</v>
      </c>
      <c r="H39" s="142" t="str">
        <f t="array" ref="H39">IF(ROWS(H$38:H39)&lt;=$G$39,INDEX('Lab dx'!$C$5:$C$14,SMALL(IF(labstage=4,IF(labstatus=0,ROW(labstatus)-ROW('Lab dx'!$E$5)+1)),ROWS(H$38:H39))),"")</f>
        <v/>
      </c>
      <c r="I39" s="53" t="str">
        <f t="array" ref="I39">IF(ROWS(I$38:I39)&lt;=$G$40,INDEX('Lab dx'!$C$5:$C$14,SMALL(IF(labstage=4,IF(labstatus=1,ROW(labstatus)-ROW('Lab dx'!$F$5)+1)),ROWS(I$38:I39))),"")</f>
        <v/>
      </c>
      <c r="J39" s="54">
        <f>SUMPRODUCT((iecstage=4)*(iecstatus=0))</f>
        <v>1</v>
      </c>
      <c r="K39" s="138" t="str">
        <f t="array" ref="K39">IF(ROWS(K$38:K39)&lt;=$J$39,INDEX(IEC!$C$5:$C$22,SMALL(IF(iecstage=4,IF(iecstatus=0,ROW(iecstatus)-ROW(IEC!$E$5)+1)),ROWS(K$38:K39))),"")</f>
        <v/>
      </c>
      <c r="L39" s="88" t="str">
        <f t="array" ref="L39">IF(ROWS(L$38:L39)&lt;=$J$40,INDEX(IEC!$C$5:$C$22,SMALL(IF(iecstage=4,IF(iecstatus=1,ROW(iecstatus)-ROW(IEC!$E$5)+1)),ROWS(L$38:L39))),"")</f>
        <v/>
      </c>
      <c r="M39" s="58">
        <f>SUMPRODUCT((prevstage=4)*(prevstatus=0))</f>
        <v>6</v>
      </c>
      <c r="N39" s="142" t="str">
        <f t="array" ref="N39">IF(ROWS(N$38:N39)&lt;=$M$39,INDEX('Prev &amp; Ctrl'!$C$5:$C$28,SMALL(IF(prevstage=4,IF(prevstatus=0,ROW(prevstatus)-ROW('Prev &amp; Ctrl'!$E$5)+1)),ROWS(N$38:N39))),"")</f>
        <v>Dog vaccination campaigns are maintained in zones where dog rabies is still present or where justified otherwise</v>
      </c>
      <c r="O39" s="53" t="str">
        <f t="array" ref="O39">IF(ROWS(O$38:O39)&lt;=$M$40,INDEX('Prev &amp; Ctrl'!$C$5:$C$28,SMALL(IF(prevstage=4,IF(prevstatus=1,ROW(prevstatus)-ROW('Prev &amp; Ctrl'!$E$5)+1)),ROWS(O$38:O39))),"")</f>
        <v/>
      </c>
      <c r="P39" s="54">
        <f>SUMPRODUCT((dogstage=4)*(dogstatus=0))</f>
        <v>0</v>
      </c>
      <c r="Q39" s="138" t="str">
        <f t="array" ref="Q39">IF(ROWS(Q$29:Q39)&lt;=$P$39,INDEX('Dog popn'!$C$5:C40,SMALL(IF(dogstage=4,IF(dogstatus=0,ROW(dogstatus)-ROW('Dog popn'!$E$5)+1)),ROWS(Q$38:Q39))),"")</f>
        <v/>
      </c>
      <c r="R39" s="88" t="str">
        <f t="array" ref="R39">IF(ROWS(R$38:R39)&lt;=$P$40,INDEX('Dog popn'!$C$5:$C$7,SMALL(IF(dogstage=4,IF(dogstatus=1,ROW(dogstatus)-ROW('Dog popn'!$E$5)+1)),ROWS(R$38:R39))),"")</f>
        <v/>
      </c>
      <c r="S39" s="54">
        <f>SUMPRODUCT((crossstage=4)*(crossstatus=0))</f>
        <v>3</v>
      </c>
      <c r="T39" s="142" t="str">
        <f t="array" ref="T39">IF(ROWS(T$38:T39)&lt;=$S$39,INDEX('Cross-cutting issues'!$C$5:$C$19,SMALL(IF(crossstage=4,IF(crossstatus=0,ROW(crossstatus)-ROW('Cross-cutting issues'!$E$5)+1)),ROWS(T$38:T39))),"")</f>
        <v>Dialogue with neighbouring or other countries has started, establishment of a cross-border plan</v>
      </c>
      <c r="U39" s="53" t="str">
        <f t="array" ref="U39">IF(ROWS(U$38:U39)&lt;=$S$40,INDEX('Cross-cutting issues'!$C$5:$C$19,SMALL(IF(crossstage=4,IF(crossstatus=1,ROW(crossstatus)-ROW('Cross-cutting issues'!$E$5)+1)),ROWS(U$38:U39))),"")</f>
        <v/>
      </c>
    </row>
    <row r="40" spans="1:21" s="52" customFormat="1" ht="51">
      <c r="A40" s="149">
        <f>SUMPRODUCT((STAGE=4)*(STATUS=1))</f>
        <v>0</v>
      </c>
      <c r="B40" s="138" t="str">
        <f t="array" ref="B40">IF(ROWS(B$38:B40)&lt;=$A$39,INDEX(Legislation!$C$5:$C$16,SMALL(IF(STAGE=4,IF(STATUS=0,ROW(STATUS)-ROW(Legislation!$E$5)+1)),ROWS(B$38:B40))),"")</f>
        <v/>
      </c>
      <c r="C40" s="88" t="str">
        <f t="array" ref="C40">IF(ROWS(C$38:C40)&lt;=$A$40,INDEX(Legislation!$C$5:$C$16,SMALL(IF(STAGE=4,IF(STATUS=1,ROW(STATUS)-ROW(Legislation!$E$5)+1)),ROWS(C$38:C40))),"")</f>
        <v/>
      </c>
      <c r="D40" s="63">
        <f>SUMPRODUCT((datastage=4)*(datastatus=1))</f>
        <v>0</v>
      </c>
      <c r="E40" s="138" t="str">
        <f t="array" ref="E40">IF(ROWS(E$38:E40)&lt;=$D$39,INDEX('Data coll &amp; ax'!$C$5:$C$13,SMALL(IF(datastage=4,IF(datastatus=0,ROW(datastatus)-ROW('Data coll &amp; ax'!$E$5)+1)),ROWS(E$38:E40))),"")</f>
        <v/>
      </c>
      <c r="F40" s="88" t="str">
        <f t="array" ref="F40">IF(ROWS(F$38:F40)&lt;=$D$40,INDEX('Data coll &amp; ax'!$C$5:$C$13,SMALL(IF(datastage=4,IF(datastatus=1,ROW(datastatus)-ROW('Data coll &amp; ax'!$E$5)+1)),ROWS(F$38:F40))),"")</f>
        <v/>
      </c>
      <c r="G40" s="54">
        <f>SUMPRODUCT((labstage=4)*(labstatus=1))</f>
        <v>0</v>
      </c>
      <c r="H40" s="142" t="str">
        <f t="array" ref="H40">IF(ROWS(H$38:H40)&lt;=$G$39,INDEX('Lab dx'!$C$5:$C$14,SMALL(IF(labstage=4,IF(labstatus=0,ROW(labstatus)-ROW('Lab dx'!$E$5)+1)),ROWS(H$38:H40))),"")</f>
        <v/>
      </c>
      <c r="I40" s="53" t="str">
        <f t="array" ref="I40">IF(ROWS(I$38:I40)&lt;=$G$40,INDEX('Lab dx'!$C$5:$C$14,SMALL(IF(labstage=4,IF(labstatus=1,ROW(labstatus)-ROW('Lab dx'!$F$5)+1)),ROWS(I$38:I40))),"")</f>
        <v/>
      </c>
      <c r="J40" s="54">
        <f>SUMPRODUCT((iecstage=4)*(iecstatus=1))</f>
        <v>0</v>
      </c>
      <c r="K40" s="138" t="str">
        <f t="array" ref="K40">IF(ROWS(K$38:K40)&lt;=$J$39,INDEX(IEC!$C$5:$C$22,SMALL(IF(iecstage=4,IF(iecstatus=0,ROW(iecstatus)-ROW(IEC!$E$5)+1)),ROWS(K$38:K40))),"")</f>
        <v/>
      </c>
      <c r="L40" s="88" t="str">
        <f t="array" ref="L40">IF(ROWS(L$38:L40)&lt;=$J$40,INDEX(IEC!$C$5:$C$22,SMALL(IF(iecstage=4,IF(iecstatus=1,ROW(iecstatus)-ROW(IEC!$E$5)+1)),ROWS(L$38:L40))),"")</f>
        <v/>
      </c>
      <c r="M40" s="58">
        <f>SUMPRODUCT((prevstage=4)*(prevstatus=1))</f>
        <v>0</v>
      </c>
      <c r="N40" s="142" t="str">
        <f t="array" ref="N40">IF(ROWS(N$38:N40)&lt;=$M$39,INDEX('Prev &amp; Ctrl'!$C$5:$C$28,SMALL(IF(prevstage=4,IF(prevstatus=0,ROW(prevstatus)-ROW('Prev &amp; Ctrl'!$E$5)+1)),ROWS(N$38:N40))),"")</f>
        <v>Measures applied in designated dog-rabies free zones</v>
      </c>
      <c r="O40" s="53" t="str">
        <f t="array" ref="O40">IF(ROWS(O$38:O40)&lt;=$M$40,INDEX('Prev &amp; Ctrl'!$C$5:$C$28,SMALL(IF(prevstage=4,IF(prevstatus=1,ROW(prevstatus)-ROW('Prev &amp; Ctrl'!$E$5)+1)),ROWS(O$38:O40))),"")</f>
        <v/>
      </c>
      <c r="P40" s="54">
        <f>SUMPRODUCT((dogstage=4)*(dogstatus=1))</f>
        <v>0</v>
      </c>
      <c r="Q40" s="138" t="str">
        <f t="array" ref="Q40">IF(ROWS(Q$29:Q40)&lt;=$P$39,INDEX('Dog popn'!$C$5:C41,SMALL(IF(dogstage=4,IF(dogstatus=0,ROW(dogstatus)-ROW('Dog popn'!$E$5)+1)),ROWS(Q$38:Q40))),"")</f>
        <v/>
      </c>
      <c r="R40" s="88" t="str">
        <f t="array" ref="R40">IF(ROWS(R$38:R40)&lt;=$P$40,INDEX('Dog popn'!$C$5:$C$7,SMALL(IF(dogstage=4,IF(dogstatus=1,ROW(dogstatus)-ROW('Dog popn'!$E$5)+1)),ROWS(R$38:R40))),"")</f>
        <v/>
      </c>
      <c r="S40" s="54">
        <f>SUMPRODUCT((crossstage=4)*(crossstatus=1))</f>
        <v>0</v>
      </c>
      <c r="T40" s="142" t="str">
        <f t="array" ref="T40">IF(ROWS(T$38:T40)&lt;=$S$39,INDEX('Cross-cutting issues'!$C$5:$C$19,SMALL(IF(crossstage=4,IF(crossstatus=0,ROW(crossstatus)-ROW('Cross-cutting issues'!$E$5)+1)),ROWS(T$38:T40))),"")</f>
        <v>Veterinary border inspection and quarantine measures are fully implemented in accordance with national regulations</v>
      </c>
      <c r="U40" s="53" t="str">
        <f t="array" ref="U40">IF(ROWS(U$38:U40)&lt;=$S$40,INDEX('Cross-cutting issues'!$C$5:$C$19,SMALL(IF(crossstage=4,IF(crossstatus=1,ROW(crossstatus)-ROW('Cross-cutting issues'!$E$5)+1)),ROWS(U$38:U40))),"")</f>
        <v/>
      </c>
    </row>
    <row r="41" spans="1:21" s="52" customFormat="1" ht="63.75">
      <c r="A41" s="150"/>
      <c r="B41" s="138" t="str">
        <f t="array" ref="B41">IF(ROWS(B$38:B41)&lt;=$A$39,INDEX(Legislation!$C$5:$C$16,SMALL(IF(STAGE=4,IF(STATUS=0,ROW(STATUS)-ROW(Legislation!$E$5)+1)),ROWS(B$38:B41))),"")</f>
        <v/>
      </c>
      <c r="C41" s="88" t="str">
        <f t="array" ref="C41">IF(ROWS(C$38:C41)&lt;=$A$40,INDEX(Legislation!$C$5:$C$16,SMALL(IF(STAGE=4,IF(STATUS=1,ROW(STATUS)-ROW(Legislation!$E$5)+1)),ROWS(C$38:C41))),"")</f>
        <v/>
      </c>
      <c r="D41" s="63"/>
      <c r="E41" s="138" t="str">
        <f t="array" ref="E41">IF(ROWS(E$38:E41)&lt;=$D$39,INDEX('Data coll &amp; ax'!$C$5:$C$13,SMALL(IF(datastage=4,IF(datastatus=0,ROW(datastatus)-ROW('Data coll &amp; ax'!$E$5)+1)),ROWS(E$38:E41))),"")</f>
        <v/>
      </c>
      <c r="F41" s="88" t="str">
        <f t="array" ref="F41">IF(ROWS(F$38:F41)&lt;=$D$40,INDEX('Data coll &amp; ax'!$C$5:$C$13,SMALL(IF(datastage=4,IF(datastatus=1,ROW(datastatus)-ROW('Data coll &amp; ax'!$E$5)+1)),ROWS(F$38:F41))),"")</f>
        <v/>
      </c>
      <c r="G41" s="54"/>
      <c r="H41" s="142" t="str">
        <f t="array" ref="H41">IF(ROWS(H$38:H41)&lt;=$G$39,INDEX('Lab dx'!$C$5:$C$14,SMALL(IF(labstage=4,IF(labstatus=0,ROW(labstatus)-ROW('Lab dx'!$E$5)+1)),ROWS(H$38:H41))),"")</f>
        <v/>
      </c>
      <c r="I41" s="53" t="str">
        <f t="array" ref="I41">IF(ROWS(I$38:I41)&lt;=$G$40,INDEX('Lab dx'!$C$5:$C$14,SMALL(IF(labstage=4,IF(labstatus=1,ROW(labstatus)-ROW('Lab dx'!$F$5)+1)),ROWS(I$38:I41))),"")</f>
        <v/>
      </c>
      <c r="J41" s="54"/>
      <c r="K41" s="138" t="str">
        <f t="array" ref="K41">IF(ROWS(K$38:K41)&lt;=$J$39,INDEX(IEC!$C$5:$C$22,SMALL(IF(iecstage=4,IF(iecstatus=0,ROW(iecstatus)-ROW(IEC!$E$5)+1)),ROWS(K$38:K41))),"")</f>
        <v/>
      </c>
      <c r="L41" s="88" t="str">
        <f t="array" ref="L41">IF(ROWS(L$38:L41)&lt;=$J$40,INDEX(IEC!$C$5:$C$22,SMALL(IF(iecstage=4,IF(iecstatus=1,ROW(iecstatus)-ROW(IEC!$E$5)+1)),ROWS(L$38:L41))),"")</f>
        <v/>
      </c>
      <c r="M41" s="58"/>
      <c r="N41" s="142" t="str">
        <f t="array" ref="N41">IF(ROWS(N$38:N41)&lt;=$M$39,INDEX('Prev &amp; Ctrl'!$C$5:$C$28,SMALL(IF(prevstage=4,IF(prevstatus=0,ROW(prevstatus)-ROW('Prev &amp; Ctrl'!$E$5)+1)),ROWS(N$38:N41))),"")</f>
        <v>Areas free of dog rabies and absence of human rabies have been assessed and verified in accordance with the national rabies control and prevention strategy</v>
      </c>
      <c r="O41" s="53" t="str">
        <f t="array" ref="O41">IF(ROWS(O$38:O41)&lt;=$M$40,INDEX('Prev &amp; Ctrl'!$C$5:$C$28,SMALL(IF(prevstage=4,IF(prevstatus=1,ROW(prevstatus)-ROW('Prev &amp; Ctrl'!$E$5)+1)),ROWS(O$38:O41))),"")</f>
        <v/>
      </c>
      <c r="P41" s="54"/>
      <c r="Q41" s="138" t="str">
        <f t="array" ref="Q41">IF(ROWS(Q$29:Q41)&lt;=$P$39,INDEX('Dog popn'!$C$5:C42,SMALL(IF(dogstage=4,IF(dogstatus=0,ROW(dogstatus)-ROW('Dog popn'!$E$5)+1)),ROWS(Q$38:Q41))),"")</f>
        <v/>
      </c>
      <c r="R41" s="88" t="str">
        <f t="array" ref="R41">IF(ROWS(R$38:R41)&lt;=$P$40,INDEX('Dog popn'!$C$5:$C$7,SMALL(IF(dogstage=4,IF(dogstatus=1,ROW(dogstatus)-ROW('Dog popn'!$E$5)+1)),ROWS(R$38:R41))),"")</f>
        <v/>
      </c>
      <c r="S41" s="54"/>
      <c r="T41" s="142" t="str">
        <f t="array" ref="T41">IF(ROWS(T$38:T41)&lt;=$S$39,INDEX('Cross-cutting issues'!$C$5:$C$19,SMALL(IF(crossstage=4,IF(crossstatus=0,ROW(crossstatus)-ROW('Cross-cutting issues'!$E$5)+1)),ROWS(T$38:T41))),"")</f>
        <v/>
      </c>
      <c r="U41" s="53" t="str">
        <f t="array" ref="U41">IF(ROWS(U$38:U41)&lt;=$S$40,INDEX('Cross-cutting issues'!$C$5:$C$19,SMALL(IF(crossstage=4,IF(crossstatus=1,ROW(crossstatus)-ROW('Cross-cutting issues'!$E$5)+1)),ROWS(U$38:U41))),"")</f>
        <v/>
      </c>
    </row>
    <row r="42" spans="1:21" s="52" customFormat="1" ht="38.25">
      <c r="A42" s="150"/>
      <c r="B42" s="138" t="str">
        <f t="array" ref="B42">IF(ROWS(B$38:B42)&lt;=$A$39,INDEX(Legislation!$C$5:$C$16,SMALL(IF(STAGE=4,IF(STATUS=0,ROW(STATUS)-ROW(Legislation!$E$5)+1)),ROWS(B$38:B42))),"")</f>
        <v/>
      </c>
      <c r="C42" s="88" t="str">
        <f t="array" ref="C42">IF(ROWS(C$38:C42)&lt;=$A$40,INDEX(Legislation!$C$5:$C$16,SMALL(IF(STAGE=4,IF(STATUS=1,ROW(STATUS)-ROW(Legislation!$E$5)+1)),ROWS(C$38:C42))),"")</f>
        <v/>
      </c>
      <c r="D42" s="63"/>
      <c r="E42" s="138" t="str">
        <f t="array" ref="E42">IF(ROWS(E$38:E42)&lt;=$D$39,INDEX('Data coll &amp; ax'!$C$5:$C$13,SMALL(IF(datastage=4,IF(datastatus=0,ROW(datastatus)-ROW('Data coll &amp; ax'!$E$5)+1)),ROWS(E$38:E42))),"")</f>
        <v/>
      </c>
      <c r="F42" s="88" t="str">
        <f t="array" ref="F42">IF(ROWS(F$38:F42)&lt;=$D$40,INDEX('Data coll &amp; ax'!$C$5:$C$13,SMALL(IF(datastage=4,IF(datastatus=1,ROW(datastatus)-ROW('Data coll &amp; ax'!$E$5)+1)),ROWS(F$38:F42))),"")</f>
        <v/>
      </c>
      <c r="G42" s="54"/>
      <c r="H42" s="142" t="str">
        <f t="array" ref="H42">IF(ROWS(H$38:H42)&lt;=$G$39,INDEX('Lab dx'!$C$5:$C$14,SMALL(IF(labstage=4,IF(labstatus=0,ROW(labstatus)-ROW('Lab dx'!$E$5)+1)),ROWS(H$38:H42))),"")</f>
        <v/>
      </c>
      <c r="I42" s="53" t="str">
        <f t="array" ref="I42">IF(ROWS(I$38:I42)&lt;=$G$40,INDEX('Lab dx'!$C$5:$C$14,SMALL(IF(labstage=4,IF(labstatus=1,ROW(labstatus)-ROW('Lab dx'!$F$5)+1)),ROWS(I$38:I42))),"")</f>
        <v/>
      </c>
      <c r="J42" s="54"/>
      <c r="K42" s="138" t="str">
        <f t="array" ref="K42">IF(ROWS(K$38:K42)&lt;=$J$39,INDEX(IEC!$C$5:$C$22,SMALL(IF(iecstage=4,IF(iecstatus=0,ROW(iecstatus)-ROW(IEC!$E$5)+1)),ROWS(K$38:K42))),"")</f>
        <v/>
      </c>
      <c r="L42" s="88" t="str">
        <f t="array" ref="L42">IF(ROWS(L$38:L42)&lt;=$J$40,INDEX(IEC!$C$5:$C$22,SMALL(IF(iecstage=4,IF(iecstatus=1,ROW(iecstatus)-ROW(IEC!$E$5)+1)),ROWS(L$38:L42))),"")</f>
        <v/>
      </c>
      <c r="M42" s="58"/>
      <c r="N42" s="142" t="str">
        <f t="array" ref="N42">IF(ROWS(N$38:N42)&lt;=$M$39,INDEX('Prev &amp; Ctrl'!$C$5:$C$28,SMALL(IF(prevstage=4,IF(prevstatus=0,ROW(prevstatus)-ROW('Prev &amp; Ctrl'!$E$5)+1)),ROWS(N$38:N42))),"")</f>
        <v>All professionals at risk of contracting rabies have been immunized</v>
      </c>
      <c r="O42" s="53" t="str">
        <f t="array" ref="O42">IF(ROWS(O$38:O42)&lt;=$M$40,INDEX('Prev &amp; Ctrl'!$C$5:$C$28,SMALL(IF(prevstage=4,IF(prevstatus=1,ROW(prevstatus)-ROW('Prev &amp; Ctrl'!$E$5)+1)),ROWS(O$38:O42))),"")</f>
        <v/>
      </c>
      <c r="P42" s="54"/>
      <c r="Q42" s="138" t="str">
        <f t="array" ref="Q42">IF(ROWS(Q$29:Q42)&lt;=$P$39,INDEX('Dog popn'!$C$5:C43,SMALL(IF(dogstage=4,IF(dogstatus=0,ROW(dogstatus)-ROW('Dog popn'!$E$5)+1)),ROWS(Q$38:Q42))),"")</f>
        <v/>
      </c>
      <c r="R42" s="88" t="str">
        <f t="array" ref="R42">IF(ROWS(R$38:R42)&lt;=$P$40,INDEX('Dog popn'!$C$5:$C$7,SMALL(IF(dogstage=4,IF(dogstatus=1,ROW(dogstatus)-ROW('Dog popn'!$E$5)+1)),ROWS(R$38:R42))),"")</f>
        <v/>
      </c>
      <c r="S42" s="54"/>
      <c r="T42" s="142" t="str">
        <f t="array" ref="T42">IF(ROWS(T$38:T42)&lt;=$S$39,INDEX('Cross-cutting issues'!$C$5:$C$19,SMALL(IF(crossstage=4,IF(crossstatus=0,ROW(crossstatus)-ROW('Cross-cutting issues'!$E$5)+1)),ROWS(T$38:T42))),"")</f>
        <v/>
      </c>
      <c r="U42" s="53" t="str">
        <f t="array" ref="U42">IF(ROWS(U$38:U42)&lt;=$S$40,INDEX('Cross-cutting issues'!$C$5:$C$19,SMALL(IF(crossstage=4,IF(crossstatus=1,ROW(crossstatus)-ROW('Cross-cutting issues'!$E$5)+1)),ROWS(U$38:U42))),"")</f>
        <v/>
      </c>
    </row>
    <row r="43" spans="1:21" s="52" customFormat="1" ht="51">
      <c r="A43" s="150"/>
      <c r="B43" s="138" t="str">
        <f t="array" ref="B43">IF(ROWS(B$38:B43)&lt;=$A$39,INDEX(Legislation!$C$5:$C$16,SMALL(IF(STAGE=4,IF(STATUS=0,ROW(STATUS)-ROW(Legislation!$E$5)+1)),ROWS(B$38:B43))),"")</f>
        <v/>
      </c>
      <c r="C43" s="88" t="str">
        <f t="array" ref="C43">IF(ROWS(C$38:C43)&lt;=$A$40,INDEX(Legislation!$C$5:$C$16,SMALL(IF(STAGE=4,IF(STATUS=1,ROW(STATUS)-ROW(Legislation!$E$5)+1)),ROWS(C$38:C43))),"")</f>
        <v/>
      </c>
      <c r="D43" s="63"/>
      <c r="E43" s="138" t="str">
        <f t="array" ref="E43">IF(ROWS(E$38:E43)&lt;=$D$39,INDEX('Data coll &amp; ax'!$C$5:$C$13,SMALL(IF(datastage=4,IF(datastatus=0,ROW(datastatus)-ROW('Data coll &amp; ax'!$E$5)+1)),ROWS(E$38:E43))),"")</f>
        <v/>
      </c>
      <c r="F43" s="88" t="str">
        <f t="array" ref="F43">IF(ROWS(F$38:F43)&lt;=$D$40,INDEX('Data coll &amp; ax'!$C$5:$C$13,SMALL(IF(datastage=4,IF(datastatus=1,ROW(datastatus)-ROW('Data coll &amp; ax'!$E$5)+1)),ROWS(F$38:F43))),"")</f>
        <v/>
      </c>
      <c r="G43" s="54"/>
      <c r="H43" s="142" t="str">
        <f t="array" ref="H43">IF(ROWS(H$38:H43)&lt;=$G$39,INDEX('Lab dx'!$C$5:$C$14,SMALL(IF(labstage=4,IF(labstatus=0,ROW(labstatus)-ROW('Lab dx'!$E$5)+1)),ROWS(H$38:H43))),"")</f>
        <v/>
      </c>
      <c r="I43" s="53" t="str">
        <f t="array" ref="I43">IF(ROWS(I$38:I43)&lt;=$G$40,INDEX('Lab dx'!$C$5:$C$14,SMALL(IF(labstage=4,IF(labstatus=1,ROW(labstatus)-ROW('Lab dx'!$F$5)+1)),ROWS(I$38:I43))),"")</f>
        <v/>
      </c>
      <c r="J43" s="54"/>
      <c r="K43" s="138" t="str">
        <f t="array" ref="K43">IF(ROWS(K$38:K43)&lt;=$J$39,INDEX(IEC!$C$5:$C$22,SMALL(IF(iecstage=4,IF(iecstatus=0,ROW(iecstatus)-ROW(IEC!$E$5)+1)),ROWS(K$38:K43))),"")</f>
        <v/>
      </c>
      <c r="L43" s="88" t="str">
        <f t="array" ref="L43">IF(ROWS(L$38:L43)&lt;=$J$40,INDEX(IEC!$C$5:$C$22,SMALL(IF(iecstage=4,IF(iecstatus=1,ROW(iecstatus)-ROW(IEC!$E$5)+1)),ROWS(L$38:L43))),"")</f>
        <v/>
      </c>
      <c r="M43" s="58"/>
      <c r="N43" s="142" t="str">
        <f t="array" ref="N43">IF(ROWS(N$38:N43)&lt;=$M$39,INDEX('Prev &amp; Ctrl'!$C$5:$C$28,SMALL(IF(prevstage=4,IF(prevstatus=0,ROW(prevstatus)-ROW('Prev &amp; Ctrl'!$E$5)+1)),ROWS(N$38:N43))),"")</f>
        <v>A long-term plan, including emergency response to outbreaks following re-introduction has been developed</v>
      </c>
      <c r="O43" s="53" t="str">
        <f t="array" ref="O43">IF(ROWS(O$38:O43)&lt;=$M$40,INDEX('Prev &amp; Ctrl'!$C$5:$C$28,SMALL(IF(prevstage=4,IF(prevstatus=1,ROW(prevstatus)-ROW('Prev &amp; Ctrl'!$E$5)+1)),ROWS(O$38:O43))),"")</f>
        <v/>
      </c>
      <c r="P43" s="54"/>
      <c r="Q43" s="138" t="str">
        <f t="array" ref="Q43">IF(ROWS(Q$29:Q43)&lt;=$P$39,INDEX('Dog popn'!$C$5:C44,SMALL(IF(dogstage=4,IF(dogstatus=0,ROW(dogstatus)-ROW('Dog popn'!$E$5)+1)),ROWS(Q$38:Q43))),"")</f>
        <v/>
      </c>
      <c r="R43" s="88" t="str">
        <f t="array" ref="R43">IF(ROWS(R$38:R43)&lt;=$P$40,INDEX('Dog popn'!$C$5:$C$7,SMALL(IF(dogstage=4,IF(dogstatus=1,ROW(dogstatus)-ROW('Dog popn'!$E$5)+1)),ROWS(R$38:R43))),"")</f>
        <v/>
      </c>
      <c r="S43" s="54"/>
      <c r="T43" s="142" t="str">
        <f t="array" ref="T43">IF(ROWS(T$38:T43)&lt;=$S$39,INDEX('Cross-cutting issues'!$C$5:$C$19,SMALL(IF(crossstage=4,IF(crossstatus=0,ROW(crossstatus)-ROW('Cross-cutting issues'!$E$5)+1)),ROWS(T$38:T43))),"")</f>
        <v/>
      </c>
      <c r="U43" s="53" t="str">
        <f t="array" ref="U43">IF(ROWS(U$38:U43)&lt;=$S$40,INDEX('Cross-cutting issues'!$C$5:$C$19,SMALL(IF(crossstage=4,IF(crossstatus=1,ROW(crossstatus)-ROW('Cross-cutting issues'!$E$5)+1)),ROWS(U$38:U43))),"")</f>
        <v/>
      </c>
    </row>
    <row r="44" spans="1:21" s="52" customFormat="1">
      <c r="A44" s="150"/>
      <c r="B44" s="138" t="str">
        <f t="array" ref="B44">IF(ROWS(B$38:B44)&lt;=$A$39,INDEX(Legislation!$C$5:$C$16,SMALL(IF(STAGE=4,IF(STATUS=0,ROW(STATUS)-ROW(Legislation!$E$5)+1)),ROWS(B$38:B44))),"")</f>
        <v/>
      </c>
      <c r="C44" s="88" t="str">
        <f t="array" ref="C44">IF(ROWS(C$38:C44)&lt;=$A$40,INDEX(Legislation!$C$5:$C$16,SMALL(IF(STAGE=4,IF(STATUS=1,ROW(STATUS)-ROW(Legislation!$E$5)+1)),ROWS(C$38:C44))),"")</f>
        <v/>
      </c>
      <c r="D44" s="63"/>
      <c r="E44" s="138" t="str">
        <f t="array" ref="E44">IF(ROWS(E$38:E44)&lt;=$D$39,INDEX('Data coll &amp; ax'!$C$5:$C$13,SMALL(IF(datastage=4,IF(datastatus=0,ROW(datastatus)-ROW('Data coll &amp; ax'!$E$5)+1)),ROWS(E$38:E44))),"")</f>
        <v/>
      </c>
      <c r="F44" s="88" t="str">
        <f t="array" ref="F44">IF(ROWS(F$38:F44)&lt;=$D$40,INDEX('Data coll &amp; ax'!$C$5:$C$13,SMALL(IF(datastage=4,IF(datastatus=1,ROW(datastatus)-ROW('Data coll &amp; ax'!$E$5)+1)),ROWS(F$38:F44))),"")</f>
        <v/>
      </c>
      <c r="G44" s="54"/>
      <c r="H44" s="142" t="str">
        <f t="array" ref="H44">IF(ROWS(H$38:H44)&lt;=$G$39,INDEX('Lab dx'!$C$5:$C$14,SMALL(IF(labstage=4,IF(labstatus=0,ROW(labstatus)-ROW('Lab dx'!$E$5)+1)),ROWS(H$38:H44))),"")</f>
        <v/>
      </c>
      <c r="I44" s="53" t="str">
        <f t="array" ref="I44">IF(ROWS(I$38:I44)&lt;=$G$40,INDEX('Lab dx'!$C$5:$C$14,SMALL(IF(labstage=4,IF(labstatus=1,ROW(labstatus)-ROW('Lab dx'!$F$5)+1)),ROWS(I$38:I44))),"")</f>
        <v/>
      </c>
      <c r="J44" s="54"/>
      <c r="K44" s="138" t="str">
        <f t="array" ref="K44">IF(ROWS(K$38:K44)&lt;=$J$39,INDEX(IEC!$C$5:$C$22,SMALL(IF(iecstage=4,IF(iecstatus=0,ROW(iecstatus)-ROW(IEC!$E$5)+1)),ROWS(K$38:K44))),"")</f>
        <v/>
      </c>
      <c r="L44" s="88" t="str">
        <f t="array" ref="L44">IF(ROWS(L$38:L44)&lt;=$J$40,INDEX(IEC!$C$5:$C$22,SMALL(IF(iecstage=4,IF(iecstatus=1,ROW(iecstatus)-ROW(IEC!$E$5)+1)),ROWS(L$38:L44))),"")</f>
        <v/>
      </c>
      <c r="M44" s="58"/>
      <c r="N44" s="142" t="str">
        <f t="array" ref="N44">IF(ROWS(N$38:N44)&lt;=$M$39,INDEX('Prev &amp; Ctrl'!$C$5:$C$28,SMALL(IF(prevstage=4,IF(prevstatus=0,ROW(prevstatus)-ROW('Prev &amp; Ctrl'!$E$5)+1)),ROWS(N$38:N44))),"")</f>
        <v/>
      </c>
      <c r="O44" s="53" t="str">
        <f t="array" ref="O44">IF(ROWS(O$38:O44)&lt;=$M$40,INDEX('Prev &amp; Ctrl'!$C$5:$C$28,SMALL(IF(prevstage=4,IF(prevstatus=1,ROW(prevstatus)-ROW('Prev &amp; Ctrl'!$E$5)+1)),ROWS(O$38:O44))),"")</f>
        <v/>
      </c>
      <c r="P44" s="54"/>
      <c r="Q44" s="138" t="str">
        <f t="array" ref="Q44">IF(ROWS(Q$29:Q44)&lt;=$P$39,INDEX('Dog popn'!$C$5:C45,SMALL(IF(dogstage=4,IF(dogstatus=0,ROW(dogstatus)-ROW('Dog popn'!$E$5)+1)),ROWS(Q$38:Q44))),"")</f>
        <v/>
      </c>
      <c r="R44" s="88" t="str">
        <f t="array" ref="R44">IF(ROWS(R$38:R44)&lt;=$P$40,INDEX('Dog popn'!$C$5:$C$7,SMALL(IF(dogstage=4,IF(dogstatus=1,ROW(dogstatus)-ROW('Dog popn'!$E$5)+1)),ROWS(R$38:R44))),"")</f>
        <v/>
      </c>
      <c r="S44" s="54"/>
      <c r="T44" s="142" t="str">
        <f t="array" ref="T44">IF(ROWS(T$38:T44)&lt;=$S$39,INDEX('Cross-cutting issues'!$C$5:$C$19,SMALL(IF(crossstage=4,IF(crossstatus=0,ROW(crossstatus)-ROW('Cross-cutting issues'!$E$5)+1)),ROWS(T$38:T44))),"")</f>
        <v/>
      </c>
      <c r="U44" s="53" t="str">
        <f t="array" ref="U44">IF(ROWS(U$38:U44)&lt;=$S$40,INDEX('Cross-cutting issues'!$C$5:$C$19,SMALL(IF(crossstage=4,IF(crossstatus=1,ROW(crossstatus)-ROW('Cross-cutting issues'!$E$5)+1)),ROWS(U$38:U44))),"")</f>
        <v/>
      </c>
    </row>
    <row r="45" spans="1:21" s="52" customFormat="1">
      <c r="A45" s="150"/>
      <c r="B45" s="138" t="str">
        <f t="array" ref="B45">IF(ROWS(B$38:B45)&lt;=$A$39,INDEX(Legislation!$C$5:$C$16,SMALL(IF(STAGE=4,IF(STATUS=0,ROW(STATUS)-ROW(Legislation!$E$5)+1)),ROWS(B$38:B45))),"")</f>
        <v/>
      </c>
      <c r="C45" s="88" t="str">
        <f t="array" ref="C45">IF(ROWS(C$38:C45)&lt;=$A$40,INDEX(Legislation!$C$5:$C$16,SMALL(IF(STAGE=4,IF(STATUS=1,ROW(STATUS)-ROW(Legislation!$E$5)+1)),ROWS(C$38:C45))),"")</f>
        <v/>
      </c>
      <c r="D45" s="63"/>
      <c r="E45" s="138" t="str">
        <f t="array" ref="E45">IF(ROWS(E$38:E45)&lt;=$D$39,INDEX('Data coll &amp; ax'!$C$5:$C$13,SMALL(IF(datastage=4,IF(datastatus=0,ROW(datastatus)-ROW('Data coll &amp; ax'!$E$5)+1)),ROWS(E$38:E45))),"")</f>
        <v/>
      </c>
      <c r="F45" s="88" t="str">
        <f t="array" ref="F45">IF(ROWS(F$38:F45)&lt;=$D$40,INDEX('Data coll &amp; ax'!$C$5:$C$13,SMALL(IF(datastage=4,IF(datastatus=1,ROW(datastatus)-ROW('Data coll &amp; ax'!$E$5)+1)),ROWS(F$38:F45))),"")</f>
        <v/>
      </c>
      <c r="G45" s="54"/>
      <c r="H45" s="142" t="str">
        <f t="array" ref="H45">IF(ROWS(H$38:H45)&lt;=$G$39,INDEX('Lab dx'!$C$5:$C$14,SMALL(IF(labstage=4,IF(labstatus=0,ROW(labstatus)-ROW('Lab dx'!$E$5)+1)),ROWS(H$38:H45))),"")</f>
        <v/>
      </c>
      <c r="I45" s="53" t="str">
        <f t="array" ref="I45">IF(ROWS(I$38:I45)&lt;=$G$40,INDEX('Lab dx'!$C$5:$C$14,SMALL(IF(labstage=4,IF(labstatus=1,ROW(labstatus)-ROW('Lab dx'!$F$5)+1)),ROWS(I$38:I45))),"")</f>
        <v/>
      </c>
      <c r="J45" s="54"/>
      <c r="K45" s="138" t="str">
        <f t="array" ref="K45">IF(ROWS(K$38:K45)&lt;=$J$39,INDEX(IEC!$C$5:$C$22,SMALL(IF(iecstage=4,IF(iecstatus=0,ROW(iecstatus)-ROW(IEC!$E$5)+1)),ROWS(K$38:K45))),"")</f>
        <v/>
      </c>
      <c r="L45" s="88" t="str">
        <f t="array" ref="L45">IF(ROWS(L$38:L45)&lt;=$J$40,INDEX(IEC!$C$5:$C$22,SMALL(IF(iecstage=4,IF(iecstatus=1,ROW(iecstatus)-ROW(IEC!$E$5)+1)),ROWS(L$38:L45))),"")</f>
        <v/>
      </c>
      <c r="M45" s="58"/>
      <c r="N45" s="142" t="str">
        <f t="array" ref="N45">IF(ROWS(N$38:N45)&lt;=$M$39,INDEX('Prev &amp; Ctrl'!$C$5:$C$28,SMALL(IF(prevstage=4,IF(prevstatus=0,ROW(prevstatus)-ROW('Prev &amp; Ctrl'!$E$5)+1)),ROWS(N$38:N45))),"")</f>
        <v/>
      </c>
      <c r="O45" s="53" t="str">
        <f t="array" ref="O45">IF(ROWS(O$38:O45)&lt;=$M$40,INDEX('Prev &amp; Ctrl'!$C$5:$C$28,SMALL(IF(prevstage=4,IF(prevstatus=1,ROW(prevstatus)-ROW('Prev &amp; Ctrl'!$E$5)+1)),ROWS(O$38:O45))),"")</f>
        <v/>
      </c>
      <c r="P45" s="54"/>
      <c r="Q45" s="138" t="str">
        <f t="array" ref="Q45">IF(ROWS(Q$29:Q45)&lt;=$P$39,INDEX('Dog popn'!$C$5:C46,SMALL(IF(dogstage=4,IF(dogstatus=0,ROW(dogstatus)-ROW('Dog popn'!$E$5)+1)),ROWS(Q$38:Q45))),"")</f>
        <v/>
      </c>
      <c r="R45" s="88" t="str">
        <f t="array" ref="R45">IF(ROWS(R$38:R45)&lt;=$P$40,INDEX('Dog popn'!$C$5:$C$7,SMALL(IF(dogstage=4,IF(dogstatus=1,ROW(dogstatus)-ROW('Dog popn'!$E$5)+1)),ROWS(R$38:R45))),"")</f>
        <v/>
      </c>
      <c r="S45" s="54"/>
      <c r="T45" s="142" t="str">
        <f t="array" ref="T45">IF(ROWS(T$38:T45)&lt;=$S$39,INDEX('Cross-cutting issues'!$C$5:$C$19,SMALL(IF(crossstage=4,IF(crossstatus=0,ROW(crossstatus)-ROW('Cross-cutting issues'!$E$5)+1)),ROWS(T$38:T45))),"")</f>
        <v/>
      </c>
      <c r="U45" s="53" t="str">
        <f t="array" ref="U45">IF(ROWS(U$38:U45)&lt;=$S$40,INDEX('Cross-cutting issues'!$C$5:$C$19,SMALL(IF(crossstage=4,IF(crossstatus=1,ROW(crossstatus)-ROW('Cross-cutting issues'!$E$5)+1)),ROWS(U$38:U45))),"")</f>
        <v/>
      </c>
    </row>
    <row r="46" spans="1:21" s="52" customFormat="1">
      <c r="A46" s="151"/>
      <c r="B46" s="139" t="str">
        <f t="array" ref="B46">IF(ROWS(B$38:B46)&lt;=$A$39,INDEX(Legislation!$C$5:$C$16,SMALL(IF(STAGE=4,IF(STATUS=0,ROW(STATUS)-ROW(Legislation!$E$5)+1)),ROWS(B$38:B46))),"")</f>
        <v/>
      </c>
      <c r="C46" s="89" t="str">
        <f t="array" ref="C46">IF(ROWS(C$38:C46)&lt;=$A$40,INDEX(Legislation!$C$5:$C$16,SMALL(IF(STAGE=4,IF(STATUS=1,ROW(STATUS)-ROW(Legislation!$E$5)+1)),ROWS(C$38:C46))),"")</f>
        <v/>
      </c>
      <c r="D46" s="64"/>
      <c r="E46" s="139" t="str">
        <f t="array" ref="E46">IF(ROWS(E$38:E46)&lt;=$D$39,INDEX('Data coll &amp; ax'!$C$5:$C$13,SMALL(IF(datastage=4,IF(datastatus=0,ROW(datastatus)-ROW('Data coll &amp; ax'!$E$5)+1)),ROWS(E$38:E46))),"")</f>
        <v/>
      </c>
      <c r="F46" s="89" t="str">
        <f t="array" ref="F46">IF(ROWS(F$38:F46)&lt;=$D$40,INDEX('Data coll &amp; ax'!$C$5:$C$13,SMALL(IF(datastage=4,IF(datastatus=1,ROW(datastatus)-ROW('Data coll &amp; ax'!$E$5)+1)),ROWS(F$38:F46))),"")</f>
        <v/>
      </c>
      <c r="G46" s="56"/>
      <c r="H46" s="143" t="str">
        <f t="array" ref="H46">IF(ROWS(H$38:H46)&lt;=$G$39,INDEX('Lab dx'!$C$5:$C$14,SMALL(IF(labstage=4,IF(labstatus=0,ROW(labstatus)-ROW('Lab dx'!$E$5)+1)),ROWS(H$38:H46))),"")</f>
        <v/>
      </c>
      <c r="I46" s="55" t="str">
        <f t="array" ref="I46">IF(ROWS(I$38:I46)&lt;=$G$40,INDEX('Lab dx'!$C$5:$C$14,SMALL(IF(labstage=4,IF(labstatus=1,ROW(labstatus)-ROW('Lab dx'!$F$5)+1)),ROWS(I$38:I46))),"")</f>
        <v/>
      </c>
      <c r="J46" s="56"/>
      <c r="K46" s="139" t="str">
        <f t="array" ref="K46">IF(ROWS(K$38:K46)&lt;=$J$39,INDEX(IEC!$C$5:$C$22,SMALL(IF(iecstage=4,IF(iecstatus=0,ROW(iecstatus)-ROW(IEC!$E$5)+1)),ROWS(K$38:K46))),"")</f>
        <v/>
      </c>
      <c r="L46" s="89" t="str">
        <f t="array" ref="L46">IF(ROWS(L$38:L46)&lt;=$J$40,INDEX(IEC!$C$5:$C$22,SMALL(IF(iecstage=4,IF(iecstatus=1,ROW(iecstatus)-ROW(IEC!$E$5)+1)),ROWS(L$38:L46))),"")</f>
        <v/>
      </c>
      <c r="M46" s="59"/>
      <c r="N46" s="143" t="str">
        <f t="array" ref="N46">IF(ROWS(N$38:N46)&lt;=$M$39,INDEX('Prev &amp; Ctrl'!$C$5:$C$28,SMALL(IF(prevstage=4,IF(prevstatus=0,ROW(prevstatus)-ROW('Prev &amp; Ctrl'!$E$5)+1)),ROWS(N$38:N46))),"")</f>
        <v/>
      </c>
      <c r="O46" s="55" t="str">
        <f t="array" ref="O46">IF(ROWS(O$38:O46)&lt;=$M$40,INDEX('Prev &amp; Ctrl'!$C$5:$C$28,SMALL(IF(prevstage=4,IF(prevstatus=1,ROW(prevstatus)-ROW('Prev &amp; Ctrl'!$E$5)+1)),ROWS(O$38:O46))),"")</f>
        <v/>
      </c>
      <c r="P46" s="56"/>
      <c r="Q46" s="139" t="str">
        <f t="array" ref="Q46">IF(ROWS(Q$29:Q46)&lt;=$P$39,INDEX('Dog popn'!$C$5:C47,SMALL(IF(dogstage=4,IF(dogstatus=0,ROW(dogstatus)-ROW('Dog popn'!$E$5)+1)),ROWS(Q$38:Q46))),"")</f>
        <v/>
      </c>
      <c r="R46" s="89" t="str">
        <f t="array" ref="R46">IF(ROWS(R$38:R46)&lt;=$P$40,INDEX('Dog popn'!$C$5:$C$7,SMALL(IF(dogstage=4,IF(dogstatus=1,ROW(dogstatus)-ROW('Dog popn'!$E$5)+1)),ROWS(R$38:R46))),"")</f>
        <v/>
      </c>
      <c r="S46" s="56"/>
      <c r="T46" s="143" t="str">
        <f t="array" ref="T46">IF(ROWS(T$38:T46)&lt;=$S$39,INDEX('Cross-cutting issues'!$C$5:$C$19,SMALL(IF(crossstage=4,IF(crossstatus=0,ROW(crossstatus)-ROW('Cross-cutting issues'!$E$5)+1)),ROWS(T$38:T46))),"")</f>
        <v/>
      </c>
      <c r="U46" s="55" t="str">
        <f t="array" ref="U46">IF(ROWS(U$38:U46)&lt;=$S$40,INDEX('Cross-cutting issues'!$C$5:$C$19,SMALL(IF(crossstage=4,IF(crossstatus=1,ROW(crossstatus)-ROW('Cross-cutting issues'!$E$5)+1)),ROWS(U$38:U46))),"")</f>
        <v/>
      </c>
    </row>
    <row r="47" spans="1:21" s="52" customFormat="1" ht="51">
      <c r="A47" s="157">
        <v>5</v>
      </c>
      <c r="B47" s="136" t="str">
        <f t="array" ref="B47">IF(ROWS(B$47:B47)&lt;=$A$48,INDEX(Legislation!$C$5:$C$16,SMALL(IF(STAGE=5,IF(STATUS=0,ROW(STATUS)-ROW(Legislation!$E$5)+1)),ROWS(B$47:B47))),"")</f>
        <v/>
      </c>
      <c r="C47" s="87" t="str">
        <f t="array" ref="C47">IF(ROWS(C$47:C47)&lt;=$A$49,INDEX(Legislation!$C$5:$C$16,SMALL(IF(STAGE=5,IF(STATUS=1,ROW(STATUS)-ROW(Legislation!$E$5)+1)),ROWS(C$47:C47))),"")</f>
        <v/>
      </c>
      <c r="D47" s="62"/>
      <c r="E47" s="141" t="str">
        <f t="array" ref="E47">IF(ROWS(E$47:E47)&lt;=$D$48,INDEX('Data coll &amp; ax'!$C$5:$C$13,SMALL(IF(datastage=5,IF(datastatus=0,ROW(datastatus)-ROW('Data coll &amp; ax'!$E$5)+1)),ROWS(E$47:E47))),"")</f>
        <v>Effective surveillance system for rabies maintained</v>
      </c>
      <c r="F47" s="50" t="str">
        <f t="array" ref="F47">IF(ROWS(F$47:F47)&lt;=$D$49,INDEX('Data coll &amp; ax'!$C$5:$C$13,SMALL(IF(datastage=5,IF(datastatus=1,ROW(datastatus)-ROW('Data coll &amp; ax'!$E$5)+1)),ROWS(F$47:F47))),"")</f>
        <v/>
      </c>
      <c r="G47" s="51"/>
      <c r="H47" s="141" t="str">
        <f t="array" ref="H47">IF(ROWS(H$47:H47)&lt;=$G$48,INDEX('Lab dx'!$C$5:$C$14,SMALL(IF(labstage=5,IF(labstatus=0,ROW(labstatus)-ROW('Lab dx'!$E$5)+1)),ROWS(H$47:H47))),"")</f>
        <v>An adequate number of samples from suspected cases in susceptible domestic and wild animal species in the country are tested</v>
      </c>
      <c r="I47" s="50" t="str">
        <f t="array" ref="I47">IF(ROWS(I$47:I47)&lt;=$G$49,INDEX('Lab dx'!$C$5:$C$14,SMALL(IF(labstage=5,IF(labstatus=1,ROW(labstatus)-ROW('Lab dx'!$F$5)+1)),ROWS(I$47:I47))),"")</f>
        <v/>
      </c>
      <c r="J47" s="51"/>
      <c r="K47" s="136" t="str">
        <f t="array" ref="K47">IF(ROWS(K$47:K47)&lt;=$J$48,INDEX(IEC!$C$5:$C$22,SMALL(IF(iecstage=5,IF(iecstatus=0,ROW(iecstatus)-ROW(IEC!$E$5)+1)),ROWS(K$47:K47))),"")</f>
        <v>Campaigns on dog population management and responsible dog ownership maintained</v>
      </c>
      <c r="L47" s="87" t="str">
        <f t="array" ref="L47">IF(ROWS(L$47:L47)&lt;=$J$49,INDEX(IEC!$C$5:$C$22,SMALL(IF(iecstage=5,IF(iecstatus=1,ROW(iecstatus)-ROW(IEC!$E$5)+1)),ROWS(L$47:L47))),"")</f>
        <v/>
      </c>
      <c r="M47" s="57"/>
      <c r="N47" s="141" t="str">
        <f t="array" ref="N47">IF(ROWS(N$47:N47)&lt;=$M$48,INDEX('Prev &amp; Ctrl'!$C$5:$C$28,SMALL(IF(prevstage=5,IF(prevstatus=0,ROW(prevstatus)-ROW('Prev &amp; Ctrl'!$E$5)+1)),ROWS(N$47:N47))),"")</f>
        <v>Modified protocols on criteria for PEP administration for rabies free areas implemented</v>
      </c>
      <c r="O47" s="50" t="str">
        <f t="array" ref="O47">IF(ROWS(O$47:O47)&lt;=$M$49,INDEX('Prev &amp; Ctrl'!$C$5:$C$28,SMALL(IF(prevstage=5,IF(prevstatus=1,ROW(prevstatus)-ROW('Prev &amp; Ctrl'!$E$5)+1)),ROWS(O$47:O47))),"")</f>
        <v>Based on a risk assessment, dog vaccination campaigns are maintained where justified</v>
      </c>
      <c r="P47" s="51"/>
      <c r="Q47" s="136" t="str">
        <f t="array" ref="Q47">IF(ROWS(Q$47:Q47)&lt;=$P$48,INDEX('Dog popn'!$C$5:C48,SMALL(IF(dogstage=5,IF(dogstatus=0,ROW(dogstatus)-ROW('Dog popn'!$E$5)+1)),ROWS(Q$47:Q47))),"")</f>
        <v/>
      </c>
      <c r="R47" s="87" t="str">
        <f t="array" ref="R47">IF(ROWS(R$47:R47)&lt;=$P$49,INDEX('Dog popn'!$C$5:$C$7,SMALL(IF(dogstage=5,IF(dogstatus=1,ROW(dogstatus)-ROW('Dog popn'!$E$5)+1)),ROWS(R$47:R47))),"")</f>
        <v/>
      </c>
      <c r="S47" s="51"/>
      <c r="T47" s="141" t="str">
        <f t="array" ref="T47">IF(ROWS(T$47:T47)&lt;=$S$48,INDEX('Cross-cutting issues'!$C$5:$C$19,SMALL(IF(crossstage=5,IF(crossstatus=0,ROW(crossstatus)-ROW('Cross-cutting issues'!$E$5)+1)),ROWS(T$47:T47))),"")</f>
        <v/>
      </c>
      <c r="U47" s="50" t="str">
        <f t="array" ref="U47">IF(ROWS(U$47:U47)&lt;=$S$49,INDEX('Cross-cutting issues'!$C$5:$C$19,SMALL(IF(crossstage=5,IF(crossstatus=1,ROW(crossstatus)-ROW('Cross-cutting issues'!$E$5)+1)),ROWS(U$47:U47))),"")</f>
        <v/>
      </c>
    </row>
    <row r="48" spans="1:21" s="52" customFormat="1" ht="25.5">
      <c r="A48" s="152">
        <f>SUMPRODUCT((STAGE=5)*(STATUS=0))</f>
        <v>0</v>
      </c>
      <c r="B48" s="138" t="str">
        <f t="array" ref="B48">IF(ROWS(B$47:B48)&lt;=$A$48,INDEX(Legislation!$C$5:$C$16,SMALL(IF(STAGE=5,IF(STATUS=0,ROW(STATUS)-ROW(Legislation!$E$5)+1)),ROWS(B$47:B48))),"")</f>
        <v/>
      </c>
      <c r="C48" s="88" t="str">
        <f t="array" ref="C48">IF(ROWS(C$47:C48)&lt;=$A$49,INDEX(Legislation!$C$5:$C$16,SMALL(IF(STAGE=5,IF(STATUS=1,ROW(STATUS)-ROW(Legislation!$E$5)+1)),ROWS(C$47:C48))),"")</f>
        <v/>
      </c>
      <c r="D48" s="63">
        <f>SUMPRODUCT((datastage=5)*(datastatus=0))</f>
        <v>1</v>
      </c>
      <c r="E48" s="142" t="str">
        <f t="array" ref="E48">IF(ROWS(E$47:E48)&lt;=$D$48,INDEX('Data coll &amp; ax'!$C$5:$C$13,SMALL(IF(datastage=5,IF(datastatus=0,ROW(datastatus)-ROW('Data coll &amp; ax'!$E$5)+1)),ROWS(E$47:E48))),"")</f>
        <v/>
      </c>
      <c r="F48" s="53" t="str">
        <f t="array" ref="F48">IF(ROWS(F$47:F48)&lt;=$D$49,INDEX('Data coll &amp; ax'!$C$5:$C$13,SMALL(IF(datastage=5,IF(datastatus=1,ROW(datastatus)-ROW('Data coll &amp; ax'!$E$5)+1)),ROWS(F$47:F48))),"")</f>
        <v/>
      </c>
      <c r="G48" s="54">
        <f>SUMPRODUCT((labstage=5)*(labstatus=0))</f>
        <v>1</v>
      </c>
      <c r="H48" s="142" t="str">
        <f t="array" ref="H48">IF(ROWS(H$47:H48)&lt;=$G$48,INDEX('Lab dx'!$C$5:$C$14,SMALL(IF(labstage=5,IF(labstatus=0,ROW(labstatus)-ROW('Lab dx'!$E$5)+1)),ROWS(H$47:H48))),"")</f>
        <v/>
      </c>
      <c r="I48" s="53" t="str">
        <f t="array" ref="I48">IF(ROWS(I$47:I48)&lt;=$G$49,INDEX('Lab dx'!$C$5:$C$14,SMALL(IF(labstage=5,IF(labstatus=1,ROW(labstatus)-ROW('Lab dx'!$F$5)+1)),ROWS(I$47:I48))),"")</f>
        <v/>
      </c>
      <c r="J48" s="54">
        <f>SUMPRODUCT((iecstage=5)*(iecstatus=0))</f>
        <v>1</v>
      </c>
      <c r="K48" s="138" t="str">
        <f t="array" ref="K48">IF(ROWS(K$47:K48)&lt;=$J$48,INDEX(IEC!$C$5:$C$22,SMALL(IF(iecstage=5,IF(iecstatus=0,ROW(iecstatus)-ROW(IEC!$E$5)+1)),ROWS(K$47:K48))),"")</f>
        <v/>
      </c>
      <c r="L48" s="88" t="str">
        <f t="array" ref="L48">IF(ROWS(L$47:L48)&lt;=$J$49,INDEX(IEC!$C$5:$C$22,SMALL(IF(iecstage=5,IF(iecstatus=1,ROW(iecstatus)-ROW(IEC!$E$5)+1)),ROWS(L$47:L48))),"")</f>
        <v/>
      </c>
      <c r="M48" s="58">
        <f>SUMPRODUCT((prevstage=5)*(prevstatus=0))</f>
        <v>2</v>
      </c>
      <c r="N48" s="142" t="str">
        <f t="array" ref="N48">IF(ROWS(N$47:N48)&lt;=$M$48,INDEX('Prev &amp; Ctrl'!$C$5:$C$28,SMALL(IF(prevstage=5,IF(prevstatus=0,ROW(prevstatus)-ROW('Prev &amp; Ctrl'!$E$5)+1)),ROWS(N$47:N48))),"")</f>
        <v>Capacity for outbreak and re-introduction response maintained</v>
      </c>
      <c r="O48" s="53" t="str">
        <f t="array" ref="O48">IF(ROWS(O$47:O48)&lt;=$M$49,INDEX('Prev &amp; Ctrl'!$C$5:$C$28,SMALL(IF(prevstage=5,IF(prevstatus=1,ROW(prevstatus)-ROW('Prev &amp; Ctrl'!$E$5)+1)),ROWS(O$47:O48))),"")</f>
        <v/>
      </c>
      <c r="P48" s="54">
        <f>SUMPRODUCT((dogstage=5)*(dogstatus=0))</f>
        <v>0</v>
      </c>
      <c r="Q48" s="138" t="str">
        <f t="array" ref="Q48">IF(ROWS(Q$47:Q48)&lt;=$P$48,INDEX('Dog popn'!$C$5:C49,SMALL(IF(dogstage=5,IF(dogstatus=0,ROW(dogstatus)-ROW('Dog popn'!$E$5)+1)),ROWS(Q$47:Q48))),"")</f>
        <v/>
      </c>
      <c r="R48" s="88" t="str">
        <f t="array" ref="R48">IF(ROWS(R$47:R48)&lt;=$P$49,INDEX('Dog popn'!$C$5:$C$7,SMALL(IF(dogstage=5,IF(dogstatus=1,ROW(dogstatus)-ROW('Dog popn'!$E$5)+1)),ROWS(R$47:R48))),"")</f>
        <v/>
      </c>
      <c r="S48" s="54">
        <f>SUMPRODUCT((crossstage=5)*(crossstatus=0))</f>
        <v>0</v>
      </c>
      <c r="T48" s="142" t="str">
        <f t="array" ref="T48">IF(ROWS(T$47:T48)&lt;=$S$48,INDEX('Cross-cutting issues'!$C$5:$C$19,SMALL(IF(crossstage=5,IF(crossstatus=0,ROW(crossstatus)-ROW('Cross-cutting issues'!$E$5)+1)),ROWS(T$47:T48))),"")</f>
        <v/>
      </c>
      <c r="U48" s="53" t="str">
        <f t="array" ref="U48">IF(ROWS(U$47:U48)&lt;=$S$49,INDEX('Cross-cutting issues'!$C$5:$C$19,SMALL(IF(crossstage=5,IF(crossstatus=1,ROW(crossstatus)-ROW('Cross-cutting issues'!$E$5)+1)),ROWS(U$47:U48))),"")</f>
        <v/>
      </c>
    </row>
    <row r="49" spans="1:21" s="52" customFormat="1">
      <c r="A49" s="152">
        <f>SUMPRODUCT((STAGE=5)*(STATUS=1))</f>
        <v>0</v>
      </c>
      <c r="B49" s="138" t="str">
        <f t="array" ref="B49">IF(ROWS(B$47:B49)&lt;=$A$48,INDEX(Legislation!$C$5:$C$16,SMALL(IF(STAGE=5,IF(STATUS=0,ROW(STATUS)-ROW(Legislation!$E$5)+1)),ROWS(B$47:B49))),"")</f>
        <v/>
      </c>
      <c r="C49" s="88" t="str">
        <f t="array" ref="C49">IF(ROWS(C$47:C49)&lt;=$A$49,INDEX(Legislation!$C$5:$C$16,SMALL(IF(STAGE=5,IF(STATUS=1,ROW(STATUS)-ROW(Legislation!$E$5)+1)),ROWS(C$47:C49))),"")</f>
        <v/>
      </c>
      <c r="D49" s="63">
        <f>SUMPRODUCT((datastage=5)*(datastatus=1))</f>
        <v>0</v>
      </c>
      <c r="E49" s="142" t="str">
        <f t="array" ref="E49">IF(ROWS(E$47:E49)&lt;=$D$48,INDEX('Data coll &amp; ax'!$C$5:$C$13,SMALL(IF(datastage=5,IF(datastatus=0,ROW(datastatus)-ROW('Data coll &amp; ax'!$E$5)+1)),ROWS(E$47:E49))),"")</f>
        <v/>
      </c>
      <c r="F49" s="53" t="str">
        <f t="array" ref="F49">IF(ROWS(F$47:F49)&lt;=$D$49,INDEX('Data coll &amp; ax'!$C$5:$C$13,SMALL(IF(datastage=5,IF(datastatus=1,ROW(datastatus)-ROW('Data coll &amp; ax'!$E$5)+1)),ROWS(F$47:F49))),"")</f>
        <v/>
      </c>
      <c r="G49" s="54">
        <f>SUMPRODUCT((labstage=5)*(labstatus=1))</f>
        <v>0</v>
      </c>
      <c r="H49" s="142" t="str">
        <f t="array" ref="H49">IF(ROWS(H$47:H49)&lt;=$G$48,INDEX('Lab dx'!$C$5:$C$14,SMALL(IF(labstage=5,IF(labstatus=0,ROW(labstatus)-ROW('Lab dx'!$E$5)+1)),ROWS(H$47:H49))),"")</f>
        <v/>
      </c>
      <c r="I49" s="53" t="str">
        <f t="array" ref="I49">IF(ROWS(I$47:I49)&lt;=$G$49,INDEX('Lab dx'!$C$5:$C$14,SMALL(IF(labstage=5,IF(labstatus=1,ROW(labstatus)-ROW('Lab dx'!$F$5)+1)),ROWS(I$47:I49))),"")</f>
        <v/>
      </c>
      <c r="J49" s="54">
        <f>SUMPRODUCT((iecstage=5)*(iecstatus=1))</f>
        <v>0</v>
      </c>
      <c r="K49" s="138" t="str">
        <f t="array" ref="K49">IF(ROWS(K$47:K49)&lt;=$J$48,INDEX(IEC!$C$5:$C$22,SMALL(IF(iecstage=5,IF(iecstatus=0,ROW(iecstatus)-ROW(IEC!$E$5)+1)),ROWS(K$47:K49))),"")</f>
        <v/>
      </c>
      <c r="L49" s="88" t="str">
        <f t="array" ref="L49">IF(ROWS(L$47:L49)&lt;=$J$49,INDEX(IEC!$C$5:$C$22,SMALL(IF(iecstage=5,IF(iecstatus=1,ROW(iecstatus)-ROW(IEC!$E$5)+1)),ROWS(L$47:L49))),"")</f>
        <v/>
      </c>
      <c r="M49" s="58">
        <f>SUMPRODUCT((prevstage=5)*(prevstatus=1))</f>
        <v>1</v>
      </c>
      <c r="N49" s="142" t="str">
        <f t="array" ref="N49">IF(ROWS(N$47:N49)&lt;=$M$48,INDEX('Prev &amp; Ctrl'!$C$5:$C$28,SMALL(IF(prevstage=5,IF(prevstatus=0,ROW(prevstatus)-ROW('Prev &amp; Ctrl'!$E$5)+1)),ROWS(N$47:N49))),"")</f>
        <v/>
      </c>
      <c r="O49" s="53" t="str">
        <f t="array" ref="O49">IF(ROWS(O$47:O49)&lt;=$M$49,INDEX('Prev &amp; Ctrl'!$C$5:$C$28,SMALL(IF(prevstage=5,IF(prevstatus=1,ROW(prevstatus)-ROW('Prev &amp; Ctrl'!$E$5)+1)),ROWS(O$47:O49))),"")</f>
        <v/>
      </c>
      <c r="P49" s="54">
        <f>SUMPRODUCT((dogstage=5)*(dogstatus=1))</f>
        <v>0</v>
      </c>
      <c r="Q49" s="138" t="str">
        <f t="array" ref="Q49">IF(ROWS(Q$47:Q49)&lt;=$P$48,INDEX('Dog popn'!$C$5:C50,SMALL(IF(dogstage=5,IF(dogstatus=0,ROW(dogstatus)-ROW('Dog popn'!$E$5)+1)),ROWS(Q$47:Q49))),"")</f>
        <v/>
      </c>
      <c r="R49" s="88" t="str">
        <f t="array" ref="R49">IF(ROWS(R$47:R49)&lt;=$P$49,INDEX('Dog popn'!$C$5:$C$7,SMALL(IF(dogstage=5,IF(dogstatus=1,ROW(dogstatus)-ROW('Dog popn'!$E$5)+1)),ROWS(R$47:R49))),"")</f>
        <v/>
      </c>
      <c r="S49" s="54">
        <f>SUMPRODUCT((crossstage=5)*(crossstatus=1))</f>
        <v>0</v>
      </c>
      <c r="T49" s="142" t="str">
        <f t="array" ref="T49">IF(ROWS(T$47:T49)&lt;=$S$48,INDEX('Cross-cutting issues'!$C$5:$C$19,SMALL(IF(crossstage=5,IF(crossstatus=0,ROW(crossstatus)-ROW('Cross-cutting issues'!$E$5)+1)),ROWS(T$47:T49))),"")</f>
        <v/>
      </c>
      <c r="U49" s="53" t="str">
        <f t="array" ref="U49">IF(ROWS(U$47:U49)&lt;=$S$49,INDEX('Cross-cutting issues'!$C$5:$C$19,SMALL(IF(crossstage=5,IF(crossstatus=1,ROW(crossstatus)-ROW('Cross-cutting issues'!$E$5)+1)),ROWS(U$47:U49))),"")</f>
        <v/>
      </c>
    </row>
    <row r="50" spans="1:21" s="52" customFormat="1">
      <c r="A50" s="153"/>
      <c r="B50" s="138" t="str">
        <f t="array" ref="B50">IF(ROWS(B$47:B50)&lt;=$A$48,INDEX(Legislation!$C$5:$C$16,SMALL(IF(STAGE=5,IF(STATUS=0,ROW(STATUS)-ROW(Legislation!$E$5)+1)),ROWS(B$47:B50))),"")</f>
        <v/>
      </c>
      <c r="C50" s="88" t="str">
        <f t="array" ref="C50">IF(ROWS(C$47:C50)&lt;=$A$49,INDEX(Legislation!$C$5:$C$16,SMALL(IF(STAGE=5,IF(STATUS=1,ROW(STATUS)-ROW(Legislation!$E$5)+1)),ROWS(C$47:C50))),"")</f>
        <v/>
      </c>
      <c r="D50" s="63"/>
      <c r="E50" s="142" t="str">
        <f t="array" ref="E50">IF(ROWS(E$47:E50)&lt;=$D$48,INDEX('Data coll &amp; ax'!$C$5:$C$13,SMALL(IF(datastage=5,IF(datastatus=0,ROW(datastatus)-ROW('Data coll &amp; ax'!$E$5)+1)),ROWS(E$47:E50))),"")</f>
        <v/>
      </c>
      <c r="F50" s="53" t="str">
        <f t="array" ref="F50">IF(ROWS(F$47:F50)&lt;=$D$49,INDEX('Data coll &amp; ax'!$C$5:$C$13,SMALL(IF(datastage=5,IF(datastatus=1,ROW(datastatus)-ROW('Data coll &amp; ax'!$E$5)+1)),ROWS(F$47:F50))),"")</f>
        <v/>
      </c>
      <c r="G50" s="54"/>
      <c r="H50" s="142" t="str">
        <f t="array" ref="H50">IF(ROWS(H$47:H50)&lt;=$G$48,INDEX('Lab dx'!$C$5:$C$14,SMALL(IF(labstage=5,IF(labstatus=0,ROW(labstatus)-ROW('Lab dx'!$E$5)+1)),ROWS(H$47:H50))),"")</f>
        <v/>
      </c>
      <c r="I50" s="53" t="str">
        <f t="array" ref="I50">IF(ROWS(I$47:I50)&lt;=$G$49,INDEX('Lab dx'!$C$5:$C$14,SMALL(IF(labstage=5,IF(labstatus=1,ROW(labstatus)-ROW('Lab dx'!$F$5)+1)),ROWS(I$47:I50))),"")</f>
        <v/>
      </c>
      <c r="J50" s="54"/>
      <c r="K50" s="138" t="str">
        <f t="array" ref="K50">IF(ROWS(K$47:K50)&lt;=$J$48,INDEX(IEC!$C$5:$C$22,SMALL(IF(iecstage=5,IF(iecstatus=0,ROW(iecstatus)-ROW(IEC!$E$5)+1)),ROWS(K$47:K50))),"")</f>
        <v/>
      </c>
      <c r="L50" s="88" t="str">
        <f t="array" ref="L50">IF(ROWS(L$47:L50)&lt;=$J$49,INDEX(IEC!$C$5:$C$22,SMALL(IF(iecstage=5,IF(iecstatus=1,ROW(iecstatus)-ROW(IEC!$E$5)+1)),ROWS(L$47:L50))),"")</f>
        <v/>
      </c>
      <c r="M50" s="58"/>
      <c r="N50" s="142" t="str">
        <f t="array" ref="N50">IF(ROWS(N$47:N50)&lt;=$M$48,INDEX('Prev &amp; Ctrl'!$C$5:$C$28,SMALL(IF(prevstage=5,IF(prevstatus=0,ROW(prevstatus)-ROW('Prev &amp; Ctrl'!$E$5)+1)),ROWS(N$47:N50))),"")</f>
        <v/>
      </c>
      <c r="O50" s="53" t="str">
        <f t="array" ref="O50">IF(ROWS(O$47:O50)&lt;=$M$49,INDEX('Prev &amp; Ctrl'!$C$5:$C$28,SMALL(IF(prevstage=5,IF(prevstatus=1,ROW(prevstatus)-ROW('Prev &amp; Ctrl'!$E$5)+1)),ROWS(O$47:O50))),"")</f>
        <v/>
      </c>
      <c r="P50" s="54"/>
      <c r="Q50" s="138" t="str">
        <f t="array" ref="Q50">IF(ROWS(Q$47:Q50)&lt;=$P$48,INDEX('Dog popn'!$C$5:C51,SMALL(IF(dogstage=5,IF(dogstatus=0,ROW(dogstatus)-ROW('Dog popn'!$E$5)+1)),ROWS(Q$47:Q50))),"")</f>
        <v/>
      </c>
      <c r="R50" s="88" t="str">
        <f t="array" ref="R50">IF(ROWS(R$47:R50)&lt;=$P$49,INDEX('Dog popn'!$C$5:$C$7,SMALL(IF(dogstage=5,IF(dogstatus=1,ROW(dogstatus)-ROW('Dog popn'!$E$5)+1)),ROWS(R$47:R50))),"")</f>
        <v/>
      </c>
      <c r="S50" s="54"/>
      <c r="T50" s="142" t="str">
        <f t="array" ref="T50">IF(ROWS(T$47:T50)&lt;=$S$48,INDEX('Cross-cutting issues'!$C$5:$C$19,SMALL(IF(crossstage=5,IF(crossstatus=0,ROW(crossstatus)-ROW('Cross-cutting issues'!$E$5)+1)),ROWS(T$47:T50))),"")</f>
        <v/>
      </c>
      <c r="U50" s="53" t="str">
        <f t="array" ref="U50">IF(ROWS(U$47:U50)&lt;=$S$49,INDEX('Cross-cutting issues'!$C$5:$C$19,SMALL(IF(crossstage=5,IF(crossstatus=1,ROW(crossstatus)-ROW('Cross-cutting issues'!$E$5)+1)),ROWS(U$47:U50))),"")</f>
        <v/>
      </c>
    </row>
    <row r="51" spans="1:21" s="52" customFormat="1">
      <c r="A51" s="153"/>
      <c r="B51" s="138" t="str">
        <f t="array" ref="B51">IF(ROWS(B$47:B51)&lt;=$A$48,INDEX(Legislation!$C$5:$C$16,SMALL(IF(STAGE=5,IF(STATUS=0,ROW(STATUS)-ROW(Legislation!$E$5)+1)),ROWS(B$47:B51))),"")</f>
        <v/>
      </c>
      <c r="C51" s="88" t="str">
        <f t="array" ref="C51">IF(ROWS(C$47:C51)&lt;=$A$49,INDEX(Legislation!$C$5:$C$16,SMALL(IF(STAGE=5,IF(STATUS=1,ROW(STATUS)-ROW(Legislation!$E$5)+1)),ROWS(C$47:C51))),"")</f>
        <v/>
      </c>
      <c r="D51" s="63"/>
      <c r="E51" s="142" t="str">
        <f t="array" ref="E51">IF(ROWS(E$47:E51)&lt;=$D$48,INDEX('Data coll &amp; ax'!$C$5:$C$13,SMALL(IF(datastage=5,IF(datastatus=0,ROW(datastatus)-ROW('Data coll &amp; ax'!$E$5)+1)),ROWS(E$47:E51))),"")</f>
        <v/>
      </c>
      <c r="F51" s="53" t="str">
        <f t="array" ref="F51">IF(ROWS(F$47:F51)&lt;=$D$49,INDEX('Data coll &amp; ax'!$C$5:$C$13,SMALL(IF(datastage=5,IF(datastatus=1,ROW(datastatus)-ROW('Data coll &amp; ax'!$E$5)+1)),ROWS(F$47:F51))),"")</f>
        <v/>
      </c>
      <c r="G51" s="54"/>
      <c r="H51" s="142" t="str">
        <f t="array" ref="H51">IF(ROWS(H$47:H51)&lt;=$G$48,INDEX('Lab dx'!$C$5:$C$14,SMALL(IF(labstage=5,IF(labstatus=0,ROW(labstatus)-ROW('Lab dx'!$E$5)+1)),ROWS(H$47:H51))),"")</f>
        <v/>
      </c>
      <c r="I51" s="53" t="str">
        <f t="array" ref="I51">IF(ROWS(I$47:I51)&lt;=$G$49,INDEX('Lab dx'!$C$5:$C$14,SMALL(IF(labstage=5,IF(labstatus=1,ROW(labstatus)-ROW('Lab dx'!$F$5)+1)),ROWS(I$47:I51))),"")</f>
        <v/>
      </c>
      <c r="J51" s="54"/>
      <c r="K51" s="138" t="str">
        <f t="array" ref="K51">IF(ROWS(K$47:K51)&lt;=$J$48,INDEX(IEC!$C$5:$C$22,SMALL(IF(iecstage=5,IF(iecstatus=0,ROW(iecstatus)-ROW(IEC!$E$5)+1)),ROWS(K$47:K51))),"")</f>
        <v/>
      </c>
      <c r="L51" s="88" t="str">
        <f t="array" ref="L51">IF(ROWS(L$47:L51)&lt;=$J$49,INDEX(IEC!$C$5:$C$22,SMALL(IF(iecstage=5,IF(iecstatus=1,ROW(iecstatus)-ROW(IEC!$E$5)+1)),ROWS(L$47:L51))),"")</f>
        <v/>
      </c>
      <c r="M51" s="58"/>
      <c r="N51" s="142" t="str">
        <f t="array" ref="N51">IF(ROWS(N$47:N51)&lt;=$M$48,INDEX('Prev &amp; Ctrl'!$C$5:$C$28,SMALL(IF(prevstage=5,IF(prevstatus=0,ROW(prevstatus)-ROW('Prev &amp; Ctrl'!$E$5)+1)),ROWS(N$47:N51))),"")</f>
        <v/>
      </c>
      <c r="O51" s="53" t="str">
        <f t="array" ref="O51">IF(ROWS(O$47:O51)&lt;=$M$49,INDEX('Prev &amp; Ctrl'!$C$5:$C$28,SMALL(IF(prevstage=5,IF(prevstatus=1,ROW(prevstatus)-ROW('Prev &amp; Ctrl'!$E$5)+1)),ROWS(O$47:O51))),"")</f>
        <v/>
      </c>
      <c r="P51" s="54"/>
      <c r="Q51" s="138" t="str">
        <f t="array" ref="Q51">IF(ROWS(Q$47:Q51)&lt;=$P$48,INDEX('Dog popn'!$C$5:C52,SMALL(IF(dogstage=5,IF(dogstatus=0,ROW(dogstatus)-ROW('Dog popn'!$E$5)+1)),ROWS(Q$47:Q51))),"")</f>
        <v/>
      </c>
      <c r="R51" s="88" t="str">
        <f t="array" ref="R51">IF(ROWS(R$47:R51)&lt;=$P$49,INDEX('Dog popn'!$C$5:$C$7,SMALL(IF(dogstage=5,IF(dogstatus=1,ROW(dogstatus)-ROW('Dog popn'!$E$5)+1)),ROWS(R$47:R51))),"")</f>
        <v/>
      </c>
      <c r="S51" s="54"/>
      <c r="T51" s="142" t="str">
        <f t="array" ref="T51">IF(ROWS(T$47:T51)&lt;=$S$48,INDEX('Cross-cutting issues'!$C$5:$C$19,SMALL(IF(crossstage=5,IF(crossstatus=0,ROW(crossstatus)-ROW('Cross-cutting issues'!$E$5)+1)),ROWS(T$47:T51))),"")</f>
        <v/>
      </c>
      <c r="U51" s="53" t="str">
        <f t="array" ref="U51">IF(ROWS(U$47:U51)&lt;=$S$49,INDEX('Cross-cutting issues'!$C$5:$C$19,SMALL(IF(crossstage=5,IF(crossstatus=1,ROW(crossstatus)-ROW('Cross-cutting issues'!$E$5)+1)),ROWS(U$47:U51))),"")</f>
        <v/>
      </c>
    </row>
    <row r="52" spans="1:21" s="52" customFormat="1">
      <c r="A52" s="153"/>
      <c r="B52" s="138" t="str">
        <f t="array" ref="B52">IF(ROWS(B$47:B52)&lt;=$A$48,INDEX(Legislation!$C$5:$C$16,SMALL(IF(STAGE=5,IF(STATUS=0,ROW(STATUS)-ROW(Legislation!$E$5)+1)),ROWS(B$47:B52))),"")</f>
        <v/>
      </c>
      <c r="C52" s="88" t="str">
        <f t="array" ref="C52">IF(ROWS(C$47:C52)&lt;=$A$49,INDEX(Legislation!$C$5:$C$16,SMALL(IF(STAGE=5,IF(STATUS=1,ROW(STATUS)-ROW(Legislation!$E$5)+1)),ROWS(C$47:C52))),"")</f>
        <v/>
      </c>
      <c r="D52" s="63"/>
      <c r="E52" s="142" t="str">
        <f t="array" ref="E52">IF(ROWS(E$47:E52)&lt;=$D$48,INDEX('Data coll &amp; ax'!$C$5:$C$13,SMALL(IF(datastage=5,IF(datastatus=0,ROW(datastatus)-ROW('Data coll &amp; ax'!$E$5)+1)),ROWS(E$47:E52))),"")</f>
        <v/>
      </c>
      <c r="F52" s="53" t="str">
        <f t="array" ref="F52">IF(ROWS(F$47:F52)&lt;=$D$49,INDEX('Data coll &amp; ax'!$C$5:$C$13,SMALL(IF(datastage=5,IF(datastatus=1,ROW(datastatus)-ROW('Data coll &amp; ax'!$E$5)+1)),ROWS(F$47:F52))),"")</f>
        <v/>
      </c>
      <c r="G52" s="54"/>
      <c r="H52" s="142" t="str">
        <f t="array" ref="H52">IF(ROWS(H$47:H52)&lt;=$G$48,INDEX('Lab dx'!$C$5:$C$14,SMALL(IF(labstage=5,IF(labstatus=0,ROW(labstatus)-ROW('Lab dx'!$E$5)+1)),ROWS(H$47:H52))),"")</f>
        <v/>
      </c>
      <c r="I52" s="53" t="str">
        <f t="array" ref="I52">IF(ROWS(I$47:I52)&lt;=$G$49,INDEX('Lab dx'!$C$5:$C$14,SMALL(IF(labstage=5,IF(labstatus=1,ROW(labstatus)-ROW('Lab dx'!$F$5)+1)),ROWS(I$47:I52))),"")</f>
        <v/>
      </c>
      <c r="J52" s="54"/>
      <c r="K52" s="138" t="str">
        <f t="array" ref="K52">IF(ROWS(K$47:K52)&lt;=$J$48,INDEX(IEC!$C$5:$C$22,SMALL(IF(iecstage=5,IF(iecstatus=0,ROW(iecstatus)-ROW(IEC!$E$5)+1)),ROWS(K$47:K52))),"")</f>
        <v/>
      </c>
      <c r="L52" s="88" t="str">
        <f t="array" ref="L52">IF(ROWS(L$47:L52)&lt;=$J$49,INDEX(IEC!$C$5:$C$22,SMALL(IF(iecstage=5,IF(iecstatus=1,ROW(iecstatus)-ROW(IEC!$E$5)+1)),ROWS(L$47:L52))),"")</f>
        <v/>
      </c>
      <c r="M52" s="58"/>
      <c r="N52" s="142" t="str">
        <f t="array" ref="N52">IF(ROWS(N$47:N52)&lt;=$M$48,INDEX('Prev &amp; Ctrl'!$C$5:$C$28,SMALL(IF(prevstage=5,IF(prevstatus=0,ROW(prevstatus)-ROW('Prev &amp; Ctrl'!$E$5)+1)),ROWS(N$47:N52))),"")</f>
        <v/>
      </c>
      <c r="O52" s="53" t="str">
        <f t="array" ref="O52">IF(ROWS(O$47:O52)&lt;=$M$49,INDEX('Prev &amp; Ctrl'!$C$5:$C$28,SMALL(IF(prevstage=5,IF(prevstatus=1,ROW(prevstatus)-ROW('Prev &amp; Ctrl'!$E$5)+1)),ROWS(O$47:O52))),"")</f>
        <v/>
      </c>
      <c r="P52" s="54"/>
      <c r="Q52" s="138" t="str">
        <f t="array" ref="Q52">IF(ROWS(Q$47:Q52)&lt;=$P$48,INDEX('Dog popn'!$C$5:C53,SMALL(IF(dogstage=5,IF(dogstatus=0,ROW(dogstatus)-ROW('Dog popn'!$E$5)+1)),ROWS(Q$47:Q52))),"")</f>
        <v/>
      </c>
      <c r="R52" s="88" t="str">
        <f t="array" ref="R52">IF(ROWS(R$47:R52)&lt;=$P$49,INDEX('Dog popn'!$C$5:$C$7,SMALL(IF(dogstage=5,IF(dogstatus=1,ROW(dogstatus)-ROW('Dog popn'!$E$5)+1)),ROWS(R$47:R52))),"")</f>
        <v/>
      </c>
      <c r="S52" s="54"/>
      <c r="T52" s="142" t="str">
        <f t="array" ref="T52">IF(ROWS(T$47:T52)&lt;=$S$48,INDEX('Cross-cutting issues'!$C$5:$C$19,SMALL(IF(crossstage=5,IF(crossstatus=0,ROW(crossstatus)-ROW('Cross-cutting issues'!$E$5)+1)),ROWS(T$47:T52))),"")</f>
        <v/>
      </c>
      <c r="U52" s="53" t="str">
        <f t="array" ref="U52">IF(ROWS(U$47:U52)&lt;=$S$49,INDEX('Cross-cutting issues'!$C$5:$C$19,SMALL(IF(crossstage=5,IF(crossstatus=1,ROW(crossstatus)-ROW('Cross-cutting issues'!$E$5)+1)),ROWS(U$47:U52))),"")</f>
        <v/>
      </c>
    </row>
    <row r="53" spans="1:21" s="52" customFormat="1">
      <c r="A53" s="153"/>
      <c r="B53" s="138" t="str">
        <f t="array" ref="B53">IF(ROWS(B$47:B53)&lt;=$A$48,INDEX(Legislation!$C$5:$C$16,SMALL(IF(STAGE=5,IF(STATUS=0,ROW(STATUS)-ROW(Legislation!$E$5)+1)),ROWS(B$47:B53))),"")</f>
        <v/>
      </c>
      <c r="C53" s="88" t="str">
        <f t="array" ref="C53">IF(ROWS(C$47:C53)&lt;=$A$49,INDEX(Legislation!$C$5:$C$16,SMALL(IF(STAGE=5,IF(STATUS=1,ROW(STATUS)-ROW(Legislation!$E$5)+1)),ROWS(C$47:C53))),"")</f>
        <v/>
      </c>
      <c r="D53" s="63"/>
      <c r="E53" s="142" t="str">
        <f t="array" ref="E53">IF(ROWS(E$47:E53)&lt;=$D$48,INDEX('Data coll &amp; ax'!$C$5:$C$13,SMALL(IF(datastage=5,IF(datastatus=0,ROW(datastatus)-ROW('Data coll &amp; ax'!$E$5)+1)),ROWS(E$47:E53))),"")</f>
        <v/>
      </c>
      <c r="F53" s="53" t="str">
        <f t="array" ref="F53">IF(ROWS(F$47:F53)&lt;=$D$49,INDEX('Data coll &amp; ax'!$C$5:$C$13,SMALL(IF(datastage=5,IF(datastatus=1,ROW(datastatus)-ROW('Data coll &amp; ax'!$E$5)+1)),ROWS(F$47:F53))),"")</f>
        <v/>
      </c>
      <c r="G53" s="54"/>
      <c r="H53" s="142" t="str">
        <f t="array" ref="H53">IF(ROWS(H$47:H53)&lt;=$G$48,INDEX('Lab dx'!$C$5:$C$14,SMALL(IF(labstage=5,IF(labstatus=0,ROW(labstatus)-ROW('Lab dx'!$E$5)+1)),ROWS(H$47:H53))),"")</f>
        <v/>
      </c>
      <c r="I53" s="53" t="str">
        <f t="array" ref="I53">IF(ROWS(I$47:I53)&lt;=$G$49,INDEX('Lab dx'!$C$5:$C$14,SMALL(IF(labstage=5,IF(labstatus=1,ROW(labstatus)-ROW('Lab dx'!$F$5)+1)),ROWS(I$47:I53))),"")</f>
        <v/>
      </c>
      <c r="J53" s="54"/>
      <c r="K53" s="138" t="str">
        <f t="array" ref="K53">IF(ROWS(K$47:K53)&lt;=$J$48,INDEX(IEC!$C$5:$C$22,SMALL(IF(iecstage=5,IF(iecstatus=0,ROW(iecstatus)-ROW(IEC!$E$5)+1)),ROWS(K$47:K53))),"")</f>
        <v/>
      </c>
      <c r="L53" s="88" t="str">
        <f t="array" ref="L53">IF(ROWS(L$47:L53)&lt;=$J$49,INDEX(IEC!$C$5:$C$22,SMALL(IF(iecstage=5,IF(iecstatus=1,ROW(iecstatus)-ROW(IEC!$E$5)+1)),ROWS(L$47:L53))),"")</f>
        <v/>
      </c>
      <c r="M53" s="58"/>
      <c r="N53" s="142" t="str">
        <f t="array" ref="N53">IF(ROWS(N$47:N53)&lt;=$M$48,INDEX('Prev &amp; Ctrl'!$C$5:$C$28,SMALL(IF(prevstage=5,IF(prevstatus=0,ROW(prevstatus)-ROW('Prev &amp; Ctrl'!$E$5)+1)),ROWS(N$47:N53))),"")</f>
        <v/>
      </c>
      <c r="O53" s="53" t="str">
        <f t="array" ref="O53">IF(ROWS(O$47:O53)&lt;=$M$49,INDEX('Prev &amp; Ctrl'!$C$5:$C$28,SMALL(IF(prevstage=5,IF(prevstatus=1,ROW(prevstatus)-ROW('Prev &amp; Ctrl'!$E$5)+1)),ROWS(O$47:O53))),"")</f>
        <v/>
      </c>
      <c r="P53" s="54"/>
      <c r="Q53" s="138" t="str">
        <f t="array" ref="Q53">IF(ROWS(Q$47:Q53)&lt;=$P$48,INDEX('Dog popn'!$C$5:C54,SMALL(IF(dogstage=5,IF(dogstatus=0,ROW(dogstatus)-ROW('Dog popn'!$E$5)+1)),ROWS(Q$47:Q53))),"")</f>
        <v/>
      </c>
      <c r="R53" s="88" t="str">
        <f t="array" ref="R53">IF(ROWS(R$47:R53)&lt;=$P$49,INDEX('Dog popn'!$C$5:$C$7,SMALL(IF(dogstage=5,IF(dogstatus=1,ROW(dogstatus)-ROW('Dog popn'!$E$5)+1)),ROWS(R$47:R53))),"")</f>
        <v/>
      </c>
      <c r="S53" s="54"/>
      <c r="T53" s="142" t="str">
        <f t="array" ref="T53">IF(ROWS(T$47:T53)&lt;=$S$48,INDEX('Cross-cutting issues'!$C$5:$C$19,SMALL(IF(crossstage=5,IF(crossstatus=0,ROW(crossstatus)-ROW('Cross-cutting issues'!$E$5)+1)),ROWS(T$47:T53))),"")</f>
        <v/>
      </c>
      <c r="U53" s="53" t="str">
        <f t="array" ref="U53">IF(ROWS(U$47:U53)&lt;=$S$49,INDEX('Cross-cutting issues'!$C$5:$C$19,SMALL(IF(crossstage=5,IF(crossstatus=1,ROW(crossstatus)-ROW('Cross-cutting issues'!$E$5)+1)),ROWS(U$47:U53))),"")</f>
        <v/>
      </c>
    </row>
    <row r="54" spans="1:21" s="52" customFormat="1">
      <c r="A54" s="153"/>
      <c r="B54" s="138" t="str">
        <f t="array" ref="B54">IF(ROWS(B$47:B54)&lt;=$A$48,INDEX(Legislation!$C$5:$C$16,SMALL(IF(STAGE=5,IF(STATUS=0,ROW(STATUS)-ROW(Legislation!$E$5)+1)),ROWS(B$47:B54))),"")</f>
        <v/>
      </c>
      <c r="C54" s="88" t="str">
        <f t="array" ref="C54">IF(ROWS(C$47:C54)&lt;=$A$49,INDEX(Legislation!$C$5:$C$16,SMALL(IF(STAGE=5,IF(STATUS=1,ROW(STATUS)-ROW(Legislation!$E$5)+1)),ROWS(C$47:C54))),"")</f>
        <v/>
      </c>
      <c r="D54" s="63"/>
      <c r="E54" s="142" t="str">
        <f t="array" ref="E54">IF(ROWS(E$47:E54)&lt;=$D$48,INDEX('Data coll &amp; ax'!$C$5:$C$13,SMALL(IF(datastage=5,IF(datastatus=0,ROW(datastatus)-ROW('Data coll &amp; ax'!$E$5)+1)),ROWS(E$47:E54))),"")</f>
        <v/>
      </c>
      <c r="F54" s="53" t="str">
        <f t="array" ref="F54">IF(ROWS(F$47:F54)&lt;=$D$49,INDEX('Data coll &amp; ax'!$C$5:$C$13,SMALL(IF(datastage=5,IF(datastatus=1,ROW(datastatus)-ROW('Data coll &amp; ax'!$E$5)+1)),ROWS(F$47:F54))),"")</f>
        <v/>
      </c>
      <c r="G54" s="54"/>
      <c r="H54" s="142" t="str">
        <f t="array" ref="H54">IF(ROWS(H$47:H54)&lt;=$G$48,INDEX('Lab dx'!$C$5:$C$14,SMALL(IF(labstage=5,IF(labstatus=0,ROW(labstatus)-ROW('Lab dx'!$E$5)+1)),ROWS(H$47:H54))),"")</f>
        <v/>
      </c>
      <c r="I54" s="53" t="str">
        <f t="array" ref="I54">IF(ROWS(I$47:I54)&lt;=$G$49,INDEX('Lab dx'!$C$5:$C$14,SMALL(IF(labstage=5,IF(labstatus=1,ROW(labstatus)-ROW('Lab dx'!$F$5)+1)),ROWS(I$47:I54))),"")</f>
        <v/>
      </c>
      <c r="J54" s="54"/>
      <c r="K54" s="138" t="str">
        <f t="array" ref="K54">IF(ROWS(K$47:K54)&lt;=$J$48,INDEX(IEC!$C$5:$C$22,SMALL(IF(iecstage=5,IF(iecstatus=0,ROW(iecstatus)-ROW(IEC!$E$5)+1)),ROWS(K$47:K54))),"")</f>
        <v/>
      </c>
      <c r="L54" s="88" t="str">
        <f t="array" ref="L54">IF(ROWS(L$47:L54)&lt;=$J$49,INDEX(IEC!$C$5:$C$22,SMALL(IF(iecstage=5,IF(iecstatus=1,ROW(iecstatus)-ROW(IEC!$E$5)+1)),ROWS(L$47:L54))),"")</f>
        <v/>
      </c>
      <c r="M54" s="58"/>
      <c r="N54" s="142" t="str">
        <f t="array" ref="N54">IF(ROWS(N$47:N54)&lt;=$M$48,INDEX('Prev &amp; Ctrl'!$C$5:$C$28,SMALL(IF(prevstage=5,IF(prevstatus=0,ROW(prevstatus)-ROW('Prev &amp; Ctrl'!$E$5)+1)),ROWS(N$47:N54))),"")</f>
        <v/>
      </c>
      <c r="O54" s="53" t="str">
        <f t="array" ref="O54">IF(ROWS(O$47:O54)&lt;=$M$49,INDEX('Prev &amp; Ctrl'!$C$5:$C$28,SMALL(IF(prevstage=5,IF(prevstatus=1,ROW(prevstatus)-ROW('Prev &amp; Ctrl'!$E$5)+1)),ROWS(O$47:O54))),"")</f>
        <v/>
      </c>
      <c r="P54" s="54"/>
      <c r="Q54" s="138" t="str">
        <f t="array" ref="Q54">IF(ROWS(Q$47:Q54)&lt;=$P$48,INDEX('Dog popn'!$C$5:C55,SMALL(IF(dogstage=5,IF(dogstatus=0,ROW(dogstatus)-ROW('Dog popn'!$E$5)+1)),ROWS(Q$47:Q54))),"")</f>
        <v/>
      </c>
      <c r="R54" s="88" t="str">
        <f t="array" ref="R54">IF(ROWS(R$47:R54)&lt;=$P$49,INDEX('Dog popn'!$C$5:$C$7,SMALL(IF(dogstage=5,IF(dogstatus=1,ROW(dogstatus)-ROW('Dog popn'!$E$5)+1)),ROWS(R$47:R54))),"")</f>
        <v/>
      </c>
      <c r="S54" s="54"/>
      <c r="T54" s="142" t="str">
        <f t="array" ref="T54">IF(ROWS(T$47:T54)&lt;=$S$48,INDEX('Cross-cutting issues'!$C$5:$C$19,SMALL(IF(crossstage=5,IF(crossstatus=0,ROW(crossstatus)-ROW('Cross-cutting issues'!$E$5)+1)),ROWS(T$47:T54))),"")</f>
        <v/>
      </c>
      <c r="U54" s="53" t="str">
        <f t="array" ref="U54">IF(ROWS(U$47:U54)&lt;=$S$49,INDEX('Cross-cutting issues'!$C$5:$C$19,SMALL(IF(crossstage=5,IF(crossstatus=1,ROW(crossstatus)-ROW('Cross-cutting issues'!$E$5)+1)),ROWS(U$47:U54))),"")</f>
        <v/>
      </c>
    </row>
    <row r="55" spans="1:21" s="52" customFormat="1">
      <c r="A55" s="154"/>
      <c r="B55" s="139" t="str">
        <f t="array" ref="B55">IF(ROWS(B$47:B55)&lt;=$A$48,INDEX(Legislation!$C$5:$C$16,SMALL(IF(STAGE=5,IF(STATUS=0,ROW(STATUS)-ROW(Legislation!$E$5)+1)),ROWS(B$47:B55))),"")</f>
        <v/>
      </c>
      <c r="C55" s="89" t="str">
        <f t="array" ref="C55">IF(ROWS(C$47:C55)&lt;=$A$49,INDEX(Legislation!$C$5:$C$16,SMALL(IF(STAGE=5,IF(STATUS=1,ROW(STATUS)-ROW(Legislation!$E$5)+1)),ROWS(C$47:C55))),"")</f>
        <v/>
      </c>
      <c r="D55" s="64"/>
      <c r="E55" s="143" t="str">
        <f t="array" ref="E55">IF(ROWS(E$47:E55)&lt;=$D$48,INDEX('Data coll &amp; ax'!$C$5:$C$13,SMALL(IF(datastage=5,IF(datastatus=0,ROW(datastatus)-ROW('Data coll &amp; ax'!$E$5)+1)),ROWS(E$47:E55))),"")</f>
        <v/>
      </c>
      <c r="F55" s="55" t="str">
        <f t="array" ref="F55">IF(ROWS(F$47:F55)&lt;=$D$49,INDEX('Data coll &amp; ax'!$C$5:$C$13,SMALL(IF(datastage=5,IF(datastatus=1,ROW(datastatus)-ROW('Data coll &amp; ax'!$E$5)+1)),ROWS(F$47:F55))),"")</f>
        <v/>
      </c>
      <c r="G55" s="56"/>
      <c r="H55" s="143" t="str">
        <f t="array" ref="H55">IF(ROWS(H$47:H55)&lt;=$G$48,INDEX('Lab dx'!$C$5:$C$14,SMALL(IF(labstage=5,IF(labstatus=0,ROW(labstatus)-ROW('Lab dx'!$E$5)+1)),ROWS(H$47:H55))),"")</f>
        <v/>
      </c>
      <c r="I55" s="55" t="str">
        <f t="array" ref="I55">IF(ROWS(I$47:I55)&lt;=$G$49,INDEX('Lab dx'!$C$5:$C$14,SMALL(IF(labstage=5,IF(labstatus=1,ROW(labstatus)-ROW('Lab dx'!$F$5)+1)),ROWS(I$47:I55))),"")</f>
        <v/>
      </c>
      <c r="J55" s="56"/>
      <c r="K55" s="139" t="str">
        <f t="array" ref="K55">IF(ROWS(K$47:K55)&lt;=$J$48,INDEX(IEC!$C$5:$C$22,SMALL(IF(iecstage=5,IF(iecstatus=0,ROW(iecstatus)-ROW(IEC!$E$5)+1)),ROWS(K$47:K55))),"")</f>
        <v/>
      </c>
      <c r="L55" s="89" t="str">
        <f t="array" ref="L55">IF(ROWS(L$47:L55)&lt;=$J$49,INDEX(IEC!$C$5:$C$22,SMALL(IF(iecstage=5,IF(iecstatus=1,ROW(iecstatus)-ROW(IEC!$E$5)+1)),ROWS(L$47:L55))),"")</f>
        <v/>
      </c>
      <c r="M55" s="59"/>
      <c r="N55" s="143" t="str">
        <f t="array" ref="N55">IF(ROWS(N$47:N55)&lt;=$M$48,INDEX('Prev &amp; Ctrl'!$C$5:$C$28,SMALL(IF(prevstage=5,IF(prevstatus=0,ROW(prevstatus)-ROW('Prev &amp; Ctrl'!$E$5)+1)),ROWS(N$47:N55))),"")</f>
        <v/>
      </c>
      <c r="O55" s="55" t="str">
        <f t="array" ref="O55">IF(ROWS(O$47:O55)&lt;=$M$49,INDEX('Prev &amp; Ctrl'!$C$5:$C$28,SMALL(IF(prevstage=5,IF(prevstatus=1,ROW(prevstatus)-ROW('Prev &amp; Ctrl'!$E$5)+1)),ROWS(O$47:O55))),"")</f>
        <v/>
      </c>
      <c r="P55" s="56"/>
      <c r="Q55" s="139" t="str">
        <f t="array" ref="Q55">IF(ROWS(Q$47:Q55)&lt;=$P$48,INDEX('Dog popn'!$C$5:C56,SMALL(IF(dogstage=5,IF(dogstatus=0,ROW(dogstatus)-ROW('Dog popn'!$E$5)+1)),ROWS(Q$47:Q55))),"")</f>
        <v/>
      </c>
      <c r="R55" s="89" t="str">
        <f t="array" ref="R55">IF(ROWS(R$47:R55)&lt;=$P$49,INDEX('Dog popn'!$C$5:$C$7,SMALL(IF(dogstage=5,IF(dogstatus=1,ROW(dogstatus)-ROW('Dog popn'!$E$5)+1)),ROWS(R$47:R55))),"")</f>
        <v/>
      </c>
      <c r="S55" s="56"/>
      <c r="T55" s="143" t="str">
        <f t="array" ref="T55">IF(ROWS(T$47:T55)&lt;=$S$48,INDEX('Cross-cutting issues'!$C$5:$C$19,SMALL(IF(crossstage=5,IF(crossstatus=0,ROW(crossstatus)-ROW('Cross-cutting issues'!$E$5)+1)),ROWS(T$47:T55))),"")</f>
        <v/>
      </c>
      <c r="U55" s="55" t="str">
        <f t="array" ref="U55">IF(ROWS(U$47:U55)&lt;=$S$49,INDEX('Cross-cutting issues'!$C$5:$C$19,SMALL(IF(crossstage=5,IF(crossstatus=1,ROW(crossstatus)-ROW('Cross-cutting issues'!$E$5)+1)),ROWS(U$47:U55))),"")</f>
        <v/>
      </c>
    </row>
  </sheetData>
  <sheetProtection formatColumns="0" formatRows="0"/>
  <mergeCells count="8">
    <mergeCell ref="A4:A5"/>
    <mergeCell ref="T4:U4"/>
    <mergeCell ref="B4:C4"/>
    <mergeCell ref="E4:F4"/>
    <mergeCell ref="H4:I4"/>
    <mergeCell ref="K4:L4"/>
    <mergeCell ref="N4:O4"/>
    <mergeCell ref="Q4:R4"/>
  </mergeCells>
  <pageMargins left="0.7" right="0.7" top="0.5" bottom="0.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C4:J15"/>
  <sheetViews>
    <sheetView showGridLines="0" tabSelected="1" workbookViewId="0">
      <selection activeCell="F10" sqref="F10:I10"/>
    </sheetView>
  </sheetViews>
  <sheetFormatPr defaultRowHeight="15"/>
  <cols>
    <col min="3" max="3" width="3.140625" style="111" customWidth="1"/>
    <col min="4" max="4" width="7.42578125" style="111" customWidth="1"/>
    <col min="5" max="5" width="7.28515625" customWidth="1"/>
  </cols>
  <sheetData>
    <row r="4" spans="3:10" ht="26.25" customHeight="1">
      <c r="C4" s="182" t="s">
        <v>156</v>
      </c>
      <c r="D4" s="183"/>
      <c r="E4" s="180" t="s">
        <v>335</v>
      </c>
      <c r="F4" s="180"/>
      <c r="G4" s="180"/>
      <c r="H4" s="180"/>
      <c r="I4" s="180"/>
      <c r="J4" s="169" t="s">
        <v>433</v>
      </c>
    </row>
    <row r="6" spans="3:10" ht="26.25" customHeight="1">
      <c r="C6" s="177" t="s">
        <v>157</v>
      </c>
      <c r="D6" s="177"/>
      <c r="E6" s="178"/>
      <c r="F6" s="184" t="s">
        <v>441</v>
      </c>
      <c r="G6" s="184"/>
      <c r="H6" s="184"/>
      <c r="I6" s="184"/>
    </row>
    <row r="7" spans="3:10" ht="26.25" customHeight="1">
      <c r="D7" s="177" t="s">
        <v>158</v>
      </c>
      <c r="E7" s="178"/>
      <c r="F7" s="185" t="s">
        <v>442</v>
      </c>
      <c r="G7" s="185"/>
      <c r="H7" s="185"/>
      <c r="I7" s="185"/>
    </row>
    <row r="8" spans="3:10" ht="26.25" customHeight="1">
      <c r="D8" s="177" t="s">
        <v>159</v>
      </c>
      <c r="E8" s="178"/>
      <c r="F8" s="185" t="s">
        <v>443</v>
      </c>
      <c r="G8" s="185"/>
      <c r="H8" s="185"/>
      <c r="I8" s="185"/>
    </row>
    <row r="9" spans="3:10">
      <c r="E9" s="112"/>
      <c r="F9" s="111"/>
      <c r="G9" s="111"/>
      <c r="H9" s="111"/>
      <c r="I9" s="111"/>
    </row>
    <row r="10" spans="3:10" ht="26.25" customHeight="1">
      <c r="C10" s="177" t="s">
        <v>157</v>
      </c>
      <c r="D10" s="177"/>
      <c r="E10" s="178"/>
      <c r="F10" s="179"/>
      <c r="G10" s="179"/>
      <c r="H10" s="179"/>
      <c r="I10" s="179"/>
    </row>
    <row r="11" spans="3:10" ht="26.25" customHeight="1">
      <c r="D11" s="177" t="s">
        <v>158</v>
      </c>
      <c r="E11" s="178"/>
      <c r="F11" s="179"/>
      <c r="G11" s="179"/>
      <c r="H11" s="179"/>
      <c r="I11" s="179"/>
    </row>
    <row r="12" spans="3:10" ht="26.25" customHeight="1">
      <c r="D12" s="177" t="s">
        <v>159</v>
      </c>
      <c r="E12" s="178"/>
      <c r="F12" s="179"/>
      <c r="G12" s="179"/>
      <c r="H12" s="179"/>
      <c r="I12" s="179"/>
    </row>
    <row r="13" spans="3:10">
      <c r="E13" s="112"/>
      <c r="F13" s="111"/>
      <c r="G13" s="111"/>
      <c r="H13" s="111"/>
      <c r="I13" s="111"/>
    </row>
    <row r="14" spans="3:10" ht="26.25" customHeight="1">
      <c r="C14" s="177" t="s">
        <v>427</v>
      </c>
      <c r="D14" s="177"/>
      <c r="E14" s="178"/>
      <c r="F14" s="181"/>
      <c r="G14" s="181"/>
      <c r="H14" s="181"/>
      <c r="I14" s="181"/>
    </row>
    <row r="15" spans="3:10">
      <c r="F15" s="113"/>
      <c r="G15" s="113"/>
      <c r="H15" s="113"/>
      <c r="I15" s="113"/>
    </row>
  </sheetData>
  <mergeCells count="16">
    <mergeCell ref="C14:E14"/>
    <mergeCell ref="F12:I12"/>
    <mergeCell ref="E4:I4"/>
    <mergeCell ref="F14:I14"/>
    <mergeCell ref="C4:D4"/>
    <mergeCell ref="C6:E6"/>
    <mergeCell ref="D7:E7"/>
    <mergeCell ref="D8:E8"/>
    <mergeCell ref="C10:E10"/>
    <mergeCell ref="D11:E11"/>
    <mergeCell ref="F6:I6"/>
    <mergeCell ref="F7:I7"/>
    <mergeCell ref="F8:I8"/>
    <mergeCell ref="F10:I10"/>
    <mergeCell ref="F11:I11"/>
    <mergeCell ref="D12:E12"/>
  </mergeCells>
  <dataValidations count="2">
    <dataValidation type="list" sqref="E4:I4">
      <formula1>COUNTRY</formula1>
    </dataValidation>
    <dataValidation type="date" showErrorMessage="1" error="Please enter a valid date" sqref="F14:I14">
      <formula1>41640</formula1>
      <formula2>47847</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A267"/>
  <sheetViews>
    <sheetView workbookViewId="0">
      <selection sqref="A1:A1048576"/>
    </sheetView>
  </sheetViews>
  <sheetFormatPr defaultRowHeight="15"/>
  <cols>
    <col min="1" max="1" width="24.5703125" bestFit="1" customWidth="1"/>
  </cols>
  <sheetData>
    <row r="1" spans="1:1">
      <c r="A1" t="s">
        <v>160</v>
      </c>
    </row>
    <row r="2" spans="1:1">
      <c r="A2" t="s">
        <v>161</v>
      </c>
    </row>
    <row r="3" spans="1:1">
      <c r="A3" t="s">
        <v>162</v>
      </c>
    </row>
    <row r="4" spans="1:1">
      <c r="A4" t="s">
        <v>163</v>
      </c>
    </row>
    <row r="5" spans="1:1">
      <c r="A5" t="s">
        <v>164</v>
      </c>
    </row>
    <row r="6" spans="1:1">
      <c r="A6" t="s">
        <v>165</v>
      </c>
    </row>
    <row r="7" spans="1:1">
      <c r="A7" t="s">
        <v>166</v>
      </c>
    </row>
    <row r="8" spans="1:1">
      <c r="A8" t="s">
        <v>167</v>
      </c>
    </row>
    <row r="9" spans="1:1">
      <c r="A9" t="s">
        <v>168</v>
      </c>
    </row>
    <row r="10" spans="1:1">
      <c r="A10" t="s">
        <v>169</v>
      </c>
    </row>
    <row r="11" spans="1:1">
      <c r="A11" t="s">
        <v>170</v>
      </c>
    </row>
    <row r="12" spans="1:1">
      <c r="A12" t="s">
        <v>171</v>
      </c>
    </row>
    <row r="13" spans="1:1">
      <c r="A13" t="s">
        <v>172</v>
      </c>
    </row>
    <row r="14" spans="1:1">
      <c r="A14" t="s">
        <v>173</v>
      </c>
    </row>
    <row r="15" spans="1:1">
      <c r="A15" t="s">
        <v>174</v>
      </c>
    </row>
    <row r="16" spans="1:1">
      <c r="A16" t="s">
        <v>175</v>
      </c>
    </row>
    <row r="17" spans="1:1">
      <c r="A17" t="s">
        <v>176</v>
      </c>
    </row>
    <row r="18" spans="1:1">
      <c r="A18" t="s">
        <v>177</v>
      </c>
    </row>
    <row r="19" spans="1:1">
      <c r="A19" t="s">
        <v>178</v>
      </c>
    </row>
    <row r="20" spans="1:1">
      <c r="A20" t="s">
        <v>179</v>
      </c>
    </row>
    <row r="21" spans="1:1">
      <c r="A21" t="s">
        <v>180</v>
      </c>
    </row>
    <row r="22" spans="1:1">
      <c r="A22" t="s">
        <v>181</v>
      </c>
    </row>
    <row r="23" spans="1:1">
      <c r="A23" t="s">
        <v>182</v>
      </c>
    </row>
    <row r="24" spans="1:1">
      <c r="A24" t="s">
        <v>183</v>
      </c>
    </row>
    <row r="25" spans="1:1">
      <c r="A25" t="s">
        <v>184</v>
      </c>
    </row>
    <row r="26" spans="1:1">
      <c r="A26" t="s">
        <v>185</v>
      </c>
    </row>
    <row r="27" spans="1:1">
      <c r="A27" t="s">
        <v>186</v>
      </c>
    </row>
    <row r="28" spans="1:1">
      <c r="A28" t="s">
        <v>187</v>
      </c>
    </row>
    <row r="29" spans="1:1">
      <c r="A29" t="s">
        <v>188</v>
      </c>
    </row>
    <row r="30" spans="1:1">
      <c r="A30" t="s">
        <v>189</v>
      </c>
    </row>
    <row r="31" spans="1:1">
      <c r="A31" t="s">
        <v>190</v>
      </c>
    </row>
    <row r="32" spans="1:1">
      <c r="A32" t="s">
        <v>191</v>
      </c>
    </row>
    <row r="33" spans="1:1">
      <c r="A33" t="s">
        <v>192</v>
      </c>
    </row>
    <row r="34" spans="1:1">
      <c r="A34" t="s">
        <v>193</v>
      </c>
    </row>
    <row r="35" spans="1:1">
      <c r="A35" t="s">
        <v>194</v>
      </c>
    </row>
    <row r="36" spans="1:1">
      <c r="A36" t="s">
        <v>195</v>
      </c>
    </row>
    <row r="37" spans="1:1">
      <c r="A37" t="s">
        <v>196</v>
      </c>
    </row>
    <row r="38" spans="1:1">
      <c r="A38" t="s">
        <v>197</v>
      </c>
    </row>
    <row r="39" spans="1:1">
      <c r="A39" t="s">
        <v>198</v>
      </c>
    </row>
    <row r="40" spans="1:1">
      <c r="A40" t="s">
        <v>199</v>
      </c>
    </row>
    <row r="41" spans="1:1">
      <c r="A41" t="s">
        <v>200</v>
      </c>
    </row>
    <row r="42" spans="1:1">
      <c r="A42" t="s">
        <v>201</v>
      </c>
    </row>
    <row r="43" spans="1:1">
      <c r="A43" t="s">
        <v>202</v>
      </c>
    </row>
    <row r="44" spans="1:1">
      <c r="A44" t="s">
        <v>203</v>
      </c>
    </row>
    <row r="45" spans="1:1">
      <c r="A45" t="s">
        <v>204</v>
      </c>
    </row>
    <row r="46" spans="1:1">
      <c r="A46" t="s">
        <v>205</v>
      </c>
    </row>
    <row r="47" spans="1:1">
      <c r="A47" t="s">
        <v>206</v>
      </c>
    </row>
    <row r="48" spans="1:1">
      <c r="A48" t="s">
        <v>207</v>
      </c>
    </row>
    <row r="49" spans="1:1">
      <c r="A49" t="s">
        <v>208</v>
      </c>
    </row>
    <row r="50" spans="1:1">
      <c r="A50" t="s">
        <v>209</v>
      </c>
    </row>
    <row r="51" spans="1:1">
      <c r="A51" t="s">
        <v>210</v>
      </c>
    </row>
    <row r="52" spans="1:1">
      <c r="A52" t="s">
        <v>211</v>
      </c>
    </row>
    <row r="53" spans="1:1">
      <c r="A53" t="s">
        <v>212</v>
      </c>
    </row>
    <row r="54" spans="1:1">
      <c r="A54" t="s">
        <v>213</v>
      </c>
    </row>
    <row r="55" spans="1:1">
      <c r="A55" t="s">
        <v>214</v>
      </c>
    </row>
    <row r="56" spans="1:1">
      <c r="A56" t="s">
        <v>215</v>
      </c>
    </row>
    <row r="57" spans="1:1">
      <c r="A57" t="s">
        <v>216</v>
      </c>
    </row>
    <row r="58" spans="1:1">
      <c r="A58" t="s">
        <v>217</v>
      </c>
    </row>
    <row r="59" spans="1:1">
      <c r="A59" t="s">
        <v>218</v>
      </c>
    </row>
    <row r="60" spans="1:1">
      <c r="A60" t="s">
        <v>219</v>
      </c>
    </row>
    <row r="61" spans="1:1">
      <c r="A61" t="s">
        <v>220</v>
      </c>
    </row>
    <row r="62" spans="1:1">
      <c r="A62" t="s">
        <v>221</v>
      </c>
    </row>
    <row r="63" spans="1:1">
      <c r="A63" t="s">
        <v>222</v>
      </c>
    </row>
    <row r="64" spans="1:1">
      <c r="A64" t="s">
        <v>223</v>
      </c>
    </row>
    <row r="65" spans="1:1">
      <c r="A65" t="s">
        <v>224</v>
      </c>
    </row>
    <row r="66" spans="1:1">
      <c r="A66" t="s">
        <v>225</v>
      </c>
    </row>
    <row r="67" spans="1:1">
      <c r="A67" t="s">
        <v>226</v>
      </c>
    </row>
    <row r="68" spans="1:1">
      <c r="A68" t="s">
        <v>227</v>
      </c>
    </row>
    <row r="69" spans="1:1">
      <c r="A69" t="s">
        <v>228</v>
      </c>
    </row>
    <row r="70" spans="1:1">
      <c r="A70" t="s">
        <v>229</v>
      </c>
    </row>
    <row r="71" spans="1:1">
      <c r="A71" t="s">
        <v>230</v>
      </c>
    </row>
    <row r="72" spans="1:1">
      <c r="A72" t="s">
        <v>231</v>
      </c>
    </row>
    <row r="73" spans="1:1">
      <c r="A73" t="s">
        <v>232</v>
      </c>
    </row>
    <row r="74" spans="1:1">
      <c r="A74" t="s">
        <v>233</v>
      </c>
    </row>
    <row r="75" spans="1:1">
      <c r="A75" t="s">
        <v>234</v>
      </c>
    </row>
    <row r="76" spans="1:1">
      <c r="A76" t="s">
        <v>235</v>
      </c>
    </row>
    <row r="77" spans="1:1">
      <c r="A77" t="s">
        <v>236</v>
      </c>
    </row>
    <row r="78" spans="1:1">
      <c r="A78" t="s">
        <v>237</v>
      </c>
    </row>
    <row r="79" spans="1:1">
      <c r="A79" t="s">
        <v>238</v>
      </c>
    </row>
    <row r="80" spans="1:1">
      <c r="A80" t="s">
        <v>239</v>
      </c>
    </row>
    <row r="81" spans="1:1">
      <c r="A81" t="s">
        <v>240</v>
      </c>
    </row>
    <row r="82" spans="1:1">
      <c r="A82" t="s">
        <v>241</v>
      </c>
    </row>
    <row r="83" spans="1:1">
      <c r="A83" t="s">
        <v>242</v>
      </c>
    </row>
    <row r="84" spans="1:1">
      <c r="A84" t="s">
        <v>243</v>
      </c>
    </row>
    <row r="85" spans="1:1">
      <c r="A85" t="s">
        <v>244</v>
      </c>
    </row>
    <row r="86" spans="1:1">
      <c r="A86" t="s">
        <v>245</v>
      </c>
    </row>
    <row r="87" spans="1:1">
      <c r="A87" t="s">
        <v>246</v>
      </c>
    </row>
    <row r="88" spans="1:1">
      <c r="A88" t="s">
        <v>247</v>
      </c>
    </row>
    <row r="89" spans="1:1">
      <c r="A89" t="s">
        <v>248</v>
      </c>
    </row>
    <row r="90" spans="1:1">
      <c r="A90" t="s">
        <v>249</v>
      </c>
    </row>
    <row r="91" spans="1:1">
      <c r="A91" t="s">
        <v>250</v>
      </c>
    </row>
    <row r="92" spans="1:1">
      <c r="A92" t="s">
        <v>251</v>
      </c>
    </row>
    <row r="93" spans="1:1">
      <c r="A93" t="s">
        <v>252</v>
      </c>
    </row>
    <row r="94" spans="1:1">
      <c r="A94" t="s">
        <v>253</v>
      </c>
    </row>
    <row r="95" spans="1:1">
      <c r="A95" t="s">
        <v>254</v>
      </c>
    </row>
    <row r="96" spans="1:1">
      <c r="A96" t="s">
        <v>255</v>
      </c>
    </row>
    <row r="97" spans="1:1">
      <c r="A97" t="s">
        <v>256</v>
      </c>
    </row>
    <row r="98" spans="1:1">
      <c r="A98" t="s">
        <v>257</v>
      </c>
    </row>
    <row r="99" spans="1:1">
      <c r="A99" t="s">
        <v>258</v>
      </c>
    </row>
    <row r="100" spans="1:1">
      <c r="A100" t="s">
        <v>259</v>
      </c>
    </row>
    <row r="101" spans="1:1">
      <c r="A101" t="s">
        <v>260</v>
      </c>
    </row>
    <row r="102" spans="1:1">
      <c r="A102" t="s">
        <v>261</v>
      </c>
    </row>
    <row r="103" spans="1:1">
      <c r="A103" t="s">
        <v>262</v>
      </c>
    </row>
    <row r="104" spans="1:1">
      <c r="A104" t="s">
        <v>263</v>
      </c>
    </row>
    <row r="105" spans="1:1">
      <c r="A105" t="s">
        <v>264</v>
      </c>
    </row>
    <row r="106" spans="1:1">
      <c r="A106" t="s">
        <v>265</v>
      </c>
    </row>
    <row r="107" spans="1:1">
      <c r="A107" t="s">
        <v>266</v>
      </c>
    </row>
    <row r="108" spans="1:1">
      <c r="A108" t="s">
        <v>267</v>
      </c>
    </row>
    <row r="109" spans="1:1">
      <c r="A109" t="s">
        <v>268</v>
      </c>
    </row>
    <row r="110" spans="1:1">
      <c r="A110" t="s">
        <v>269</v>
      </c>
    </row>
    <row r="111" spans="1:1">
      <c r="A111" t="s">
        <v>270</v>
      </c>
    </row>
    <row r="112" spans="1:1">
      <c r="A112" t="s">
        <v>271</v>
      </c>
    </row>
    <row r="113" spans="1:1">
      <c r="A113" t="s">
        <v>272</v>
      </c>
    </row>
    <row r="114" spans="1:1">
      <c r="A114" t="s">
        <v>273</v>
      </c>
    </row>
    <row r="115" spans="1:1">
      <c r="A115" t="s">
        <v>274</v>
      </c>
    </row>
    <row r="116" spans="1:1">
      <c r="A116" t="s">
        <v>275</v>
      </c>
    </row>
    <row r="117" spans="1:1">
      <c r="A117" t="s">
        <v>276</v>
      </c>
    </row>
    <row r="118" spans="1:1">
      <c r="A118" t="s">
        <v>277</v>
      </c>
    </row>
    <row r="119" spans="1:1">
      <c r="A119" t="s">
        <v>278</v>
      </c>
    </row>
    <row r="120" spans="1:1">
      <c r="A120" t="s">
        <v>279</v>
      </c>
    </row>
    <row r="121" spans="1:1">
      <c r="A121" t="s">
        <v>280</v>
      </c>
    </row>
    <row r="122" spans="1:1">
      <c r="A122" t="s">
        <v>281</v>
      </c>
    </row>
    <row r="123" spans="1:1">
      <c r="A123" t="s">
        <v>282</v>
      </c>
    </row>
    <row r="124" spans="1:1">
      <c r="A124" t="s">
        <v>283</v>
      </c>
    </row>
    <row r="125" spans="1:1">
      <c r="A125" t="s">
        <v>284</v>
      </c>
    </row>
    <row r="126" spans="1:1">
      <c r="A126" t="s">
        <v>285</v>
      </c>
    </row>
    <row r="127" spans="1:1">
      <c r="A127" t="s">
        <v>286</v>
      </c>
    </row>
    <row r="128" spans="1:1">
      <c r="A128" t="s">
        <v>287</v>
      </c>
    </row>
    <row r="129" spans="1:1">
      <c r="A129" t="s">
        <v>288</v>
      </c>
    </row>
    <row r="130" spans="1:1">
      <c r="A130" t="s">
        <v>289</v>
      </c>
    </row>
    <row r="131" spans="1:1">
      <c r="A131" t="s">
        <v>290</v>
      </c>
    </row>
    <row r="132" spans="1:1">
      <c r="A132" t="s">
        <v>291</v>
      </c>
    </row>
    <row r="133" spans="1:1">
      <c r="A133" t="s">
        <v>292</v>
      </c>
    </row>
    <row r="134" spans="1:1">
      <c r="A134" t="s">
        <v>293</v>
      </c>
    </row>
    <row r="135" spans="1:1">
      <c r="A135" t="s">
        <v>294</v>
      </c>
    </row>
    <row r="136" spans="1:1">
      <c r="A136" t="s">
        <v>295</v>
      </c>
    </row>
    <row r="137" spans="1:1">
      <c r="A137" t="s">
        <v>296</v>
      </c>
    </row>
    <row r="138" spans="1:1">
      <c r="A138" t="s">
        <v>297</v>
      </c>
    </row>
    <row r="139" spans="1:1">
      <c r="A139" t="s">
        <v>298</v>
      </c>
    </row>
    <row r="140" spans="1:1">
      <c r="A140" t="s">
        <v>299</v>
      </c>
    </row>
    <row r="141" spans="1:1">
      <c r="A141" t="s">
        <v>300</v>
      </c>
    </row>
    <row r="142" spans="1:1">
      <c r="A142" t="s">
        <v>301</v>
      </c>
    </row>
    <row r="143" spans="1:1">
      <c r="A143" t="s">
        <v>302</v>
      </c>
    </row>
    <row r="144" spans="1:1">
      <c r="A144" t="s">
        <v>303</v>
      </c>
    </row>
    <row r="145" spans="1:1">
      <c r="A145" t="s">
        <v>304</v>
      </c>
    </row>
    <row r="146" spans="1:1">
      <c r="A146" t="s">
        <v>305</v>
      </c>
    </row>
    <row r="147" spans="1:1">
      <c r="A147" t="s">
        <v>306</v>
      </c>
    </row>
    <row r="148" spans="1:1">
      <c r="A148" t="s">
        <v>307</v>
      </c>
    </row>
    <row r="149" spans="1:1">
      <c r="A149" t="s">
        <v>308</v>
      </c>
    </row>
    <row r="150" spans="1:1">
      <c r="A150" t="s">
        <v>309</v>
      </c>
    </row>
    <row r="151" spans="1:1">
      <c r="A151" t="s">
        <v>310</v>
      </c>
    </row>
    <row r="152" spans="1:1">
      <c r="A152" t="s">
        <v>311</v>
      </c>
    </row>
    <row r="153" spans="1:1">
      <c r="A153" t="s">
        <v>312</v>
      </c>
    </row>
    <row r="154" spans="1:1">
      <c r="A154" t="s">
        <v>313</v>
      </c>
    </row>
    <row r="155" spans="1:1">
      <c r="A155" t="s">
        <v>314</v>
      </c>
    </row>
    <row r="156" spans="1:1">
      <c r="A156" t="s">
        <v>315</v>
      </c>
    </row>
    <row r="157" spans="1:1">
      <c r="A157" t="s">
        <v>316</v>
      </c>
    </row>
    <row r="158" spans="1:1">
      <c r="A158" t="s">
        <v>317</v>
      </c>
    </row>
    <row r="159" spans="1:1">
      <c r="A159" t="s">
        <v>318</v>
      </c>
    </row>
    <row r="160" spans="1:1">
      <c r="A160" t="s">
        <v>319</v>
      </c>
    </row>
    <row r="161" spans="1:1">
      <c r="A161" t="s">
        <v>320</v>
      </c>
    </row>
    <row r="162" spans="1:1">
      <c r="A162" t="s">
        <v>321</v>
      </c>
    </row>
    <row r="163" spans="1:1">
      <c r="A163" t="s">
        <v>322</v>
      </c>
    </row>
    <row r="164" spans="1:1">
      <c r="A164" t="s">
        <v>323</v>
      </c>
    </row>
    <row r="165" spans="1:1">
      <c r="A165" t="s">
        <v>324</v>
      </c>
    </row>
    <row r="166" spans="1:1">
      <c r="A166" t="s">
        <v>325</v>
      </c>
    </row>
    <row r="167" spans="1:1">
      <c r="A167" t="s">
        <v>326</v>
      </c>
    </row>
    <row r="168" spans="1:1">
      <c r="A168" t="s">
        <v>327</v>
      </c>
    </row>
    <row r="169" spans="1:1">
      <c r="A169" t="s">
        <v>328</v>
      </c>
    </row>
    <row r="170" spans="1:1">
      <c r="A170" t="s">
        <v>329</v>
      </c>
    </row>
    <row r="171" spans="1:1">
      <c r="A171" t="s">
        <v>330</v>
      </c>
    </row>
    <row r="172" spans="1:1">
      <c r="A172" t="s">
        <v>331</v>
      </c>
    </row>
    <row r="173" spans="1:1">
      <c r="A173" t="s">
        <v>332</v>
      </c>
    </row>
    <row r="174" spans="1:1">
      <c r="A174" t="s">
        <v>333</v>
      </c>
    </row>
    <row r="175" spans="1:1">
      <c r="A175" t="s">
        <v>334</v>
      </c>
    </row>
    <row r="176" spans="1:1">
      <c r="A176" t="s">
        <v>335</v>
      </c>
    </row>
    <row r="177" spans="1:1">
      <c r="A177" t="s">
        <v>336</v>
      </c>
    </row>
    <row r="178" spans="1:1">
      <c r="A178" t="s">
        <v>337</v>
      </c>
    </row>
    <row r="179" spans="1:1">
      <c r="A179" t="s">
        <v>338</v>
      </c>
    </row>
    <row r="180" spans="1:1">
      <c r="A180" t="s">
        <v>339</v>
      </c>
    </row>
    <row r="181" spans="1:1">
      <c r="A181" t="s">
        <v>340</v>
      </c>
    </row>
    <row r="182" spans="1:1">
      <c r="A182" t="s">
        <v>341</v>
      </c>
    </row>
    <row r="183" spans="1:1">
      <c r="A183" t="s">
        <v>342</v>
      </c>
    </row>
    <row r="184" spans="1:1">
      <c r="A184" t="s">
        <v>343</v>
      </c>
    </row>
    <row r="185" spans="1:1">
      <c r="A185" t="s">
        <v>344</v>
      </c>
    </row>
    <row r="186" spans="1:1">
      <c r="A186" t="s">
        <v>345</v>
      </c>
    </row>
    <row r="187" spans="1:1">
      <c r="A187" t="s">
        <v>346</v>
      </c>
    </row>
    <row r="188" spans="1:1">
      <c r="A188" t="s">
        <v>347</v>
      </c>
    </row>
    <row r="189" spans="1:1">
      <c r="A189" t="s">
        <v>348</v>
      </c>
    </row>
    <row r="190" spans="1:1">
      <c r="A190" t="s">
        <v>349</v>
      </c>
    </row>
    <row r="191" spans="1:1">
      <c r="A191" t="s">
        <v>350</v>
      </c>
    </row>
    <row r="192" spans="1:1">
      <c r="A192" t="s">
        <v>351</v>
      </c>
    </row>
    <row r="193" spans="1:1">
      <c r="A193" t="s">
        <v>352</v>
      </c>
    </row>
    <row r="194" spans="1:1">
      <c r="A194" t="s">
        <v>353</v>
      </c>
    </row>
    <row r="195" spans="1:1">
      <c r="A195" t="s">
        <v>354</v>
      </c>
    </row>
    <row r="196" spans="1:1">
      <c r="A196" t="s">
        <v>355</v>
      </c>
    </row>
    <row r="197" spans="1:1">
      <c r="A197" t="s">
        <v>356</v>
      </c>
    </row>
    <row r="198" spans="1:1">
      <c r="A198" t="s">
        <v>357</v>
      </c>
    </row>
    <row r="199" spans="1:1">
      <c r="A199" t="s">
        <v>358</v>
      </c>
    </row>
    <row r="200" spans="1:1">
      <c r="A200" t="s">
        <v>359</v>
      </c>
    </row>
    <row r="201" spans="1:1">
      <c r="A201" t="s">
        <v>360</v>
      </c>
    </row>
    <row r="202" spans="1:1">
      <c r="A202" t="s">
        <v>361</v>
      </c>
    </row>
    <row r="203" spans="1:1">
      <c r="A203" t="s">
        <v>362</v>
      </c>
    </row>
    <row r="204" spans="1:1">
      <c r="A204" t="s">
        <v>363</v>
      </c>
    </row>
    <row r="205" spans="1:1">
      <c r="A205" t="s">
        <v>364</v>
      </c>
    </row>
    <row r="206" spans="1:1">
      <c r="A206" t="s">
        <v>365</v>
      </c>
    </row>
    <row r="207" spans="1:1">
      <c r="A207" t="s">
        <v>366</v>
      </c>
    </row>
    <row r="208" spans="1:1">
      <c r="A208" t="s">
        <v>367</v>
      </c>
    </row>
    <row r="209" spans="1:1">
      <c r="A209" t="s">
        <v>368</v>
      </c>
    </row>
    <row r="210" spans="1:1">
      <c r="A210" t="s">
        <v>369</v>
      </c>
    </row>
    <row r="211" spans="1:1">
      <c r="A211" t="s">
        <v>370</v>
      </c>
    </row>
    <row r="212" spans="1:1">
      <c r="A212" t="s">
        <v>371</v>
      </c>
    </row>
    <row r="213" spans="1:1">
      <c r="A213" t="s">
        <v>372</v>
      </c>
    </row>
    <row r="214" spans="1:1">
      <c r="A214" t="s">
        <v>373</v>
      </c>
    </row>
    <row r="215" spans="1:1">
      <c r="A215" t="s">
        <v>374</v>
      </c>
    </row>
    <row r="216" spans="1:1">
      <c r="A216" t="s">
        <v>375</v>
      </c>
    </row>
    <row r="217" spans="1:1">
      <c r="A217" t="s">
        <v>376</v>
      </c>
    </row>
    <row r="218" spans="1:1">
      <c r="A218" t="s">
        <v>377</v>
      </c>
    </row>
    <row r="219" spans="1:1">
      <c r="A219" t="s">
        <v>378</v>
      </c>
    </row>
    <row r="220" spans="1:1">
      <c r="A220" t="s">
        <v>379</v>
      </c>
    </row>
    <row r="221" spans="1:1">
      <c r="A221" t="s">
        <v>380</v>
      </c>
    </row>
    <row r="222" spans="1:1">
      <c r="A222" t="s">
        <v>381</v>
      </c>
    </row>
    <row r="223" spans="1:1">
      <c r="A223" t="s">
        <v>382</v>
      </c>
    </row>
    <row r="224" spans="1:1">
      <c r="A224" t="s">
        <v>383</v>
      </c>
    </row>
    <row r="225" spans="1:1">
      <c r="A225" t="s">
        <v>384</v>
      </c>
    </row>
    <row r="226" spans="1:1">
      <c r="A226" t="s">
        <v>385</v>
      </c>
    </row>
    <row r="227" spans="1:1">
      <c r="A227" t="s">
        <v>386</v>
      </c>
    </row>
    <row r="228" spans="1:1">
      <c r="A228" t="s">
        <v>387</v>
      </c>
    </row>
    <row r="229" spans="1:1">
      <c r="A229" t="s">
        <v>388</v>
      </c>
    </row>
    <row r="230" spans="1:1">
      <c r="A230" t="s">
        <v>389</v>
      </c>
    </row>
    <row r="231" spans="1:1">
      <c r="A231" t="s">
        <v>390</v>
      </c>
    </row>
    <row r="232" spans="1:1">
      <c r="A232" t="s">
        <v>391</v>
      </c>
    </row>
    <row r="233" spans="1:1">
      <c r="A233" t="s">
        <v>392</v>
      </c>
    </row>
    <row r="234" spans="1:1">
      <c r="A234" t="s">
        <v>393</v>
      </c>
    </row>
    <row r="235" spans="1:1">
      <c r="A235" t="s">
        <v>394</v>
      </c>
    </row>
    <row r="236" spans="1:1">
      <c r="A236" t="s">
        <v>395</v>
      </c>
    </row>
    <row r="237" spans="1:1">
      <c r="A237" t="s">
        <v>396</v>
      </c>
    </row>
    <row r="238" spans="1:1">
      <c r="A238" t="s">
        <v>397</v>
      </c>
    </row>
    <row r="239" spans="1:1">
      <c r="A239" t="s">
        <v>398</v>
      </c>
    </row>
    <row r="240" spans="1:1">
      <c r="A240" t="s">
        <v>399</v>
      </c>
    </row>
    <row r="241" spans="1:1">
      <c r="A241" t="s">
        <v>400</v>
      </c>
    </row>
    <row r="242" spans="1:1">
      <c r="A242" t="s">
        <v>401</v>
      </c>
    </row>
    <row r="243" spans="1:1">
      <c r="A243" t="s">
        <v>402</v>
      </c>
    </row>
    <row r="244" spans="1:1">
      <c r="A244" t="s">
        <v>403</v>
      </c>
    </row>
    <row r="245" spans="1:1">
      <c r="A245" t="s">
        <v>404</v>
      </c>
    </row>
    <row r="246" spans="1:1">
      <c r="A246" t="s">
        <v>405</v>
      </c>
    </row>
    <row r="247" spans="1:1">
      <c r="A247" t="s">
        <v>406</v>
      </c>
    </row>
    <row r="248" spans="1:1">
      <c r="A248" t="s">
        <v>407</v>
      </c>
    </row>
    <row r="249" spans="1:1">
      <c r="A249" t="s">
        <v>408</v>
      </c>
    </row>
    <row r="250" spans="1:1">
      <c r="A250" t="s">
        <v>409</v>
      </c>
    </row>
    <row r="251" spans="1:1">
      <c r="A251" t="s">
        <v>410</v>
      </c>
    </row>
    <row r="252" spans="1:1">
      <c r="A252" t="s">
        <v>411</v>
      </c>
    </row>
    <row r="253" spans="1:1">
      <c r="A253" t="s">
        <v>412</v>
      </c>
    </row>
    <row r="254" spans="1:1">
      <c r="A254" t="s">
        <v>413</v>
      </c>
    </row>
    <row r="255" spans="1:1">
      <c r="A255" t="s">
        <v>414</v>
      </c>
    </row>
    <row r="256" spans="1:1">
      <c r="A256" t="s">
        <v>415</v>
      </c>
    </row>
    <row r="257" spans="1:1">
      <c r="A257" t="s">
        <v>416</v>
      </c>
    </row>
    <row r="258" spans="1:1">
      <c r="A258" t="s">
        <v>417</v>
      </c>
    </row>
    <row r="259" spans="1:1">
      <c r="A259" t="s">
        <v>418</v>
      </c>
    </row>
    <row r="260" spans="1:1">
      <c r="A260" t="s">
        <v>419</v>
      </c>
    </row>
    <row r="261" spans="1:1">
      <c r="A261" t="s">
        <v>420</v>
      </c>
    </row>
    <row r="262" spans="1:1">
      <c r="A262" t="s">
        <v>421</v>
      </c>
    </row>
    <row r="263" spans="1:1">
      <c r="A263" t="s">
        <v>422</v>
      </c>
    </row>
    <row r="264" spans="1:1">
      <c r="A264" t="s">
        <v>423</v>
      </c>
    </row>
    <row r="265" spans="1:1">
      <c r="A265" t="s">
        <v>424</v>
      </c>
    </row>
    <row r="266" spans="1:1">
      <c r="A266" t="s">
        <v>425</v>
      </c>
    </row>
    <row r="267" spans="1:1">
      <c r="A267" t="s">
        <v>426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F18"/>
  <sheetViews>
    <sheetView topLeftCell="E1" workbookViewId="0">
      <selection activeCell="F11" sqref="F11"/>
    </sheetView>
  </sheetViews>
  <sheetFormatPr defaultRowHeight="15"/>
  <cols>
    <col min="1" max="1" width="9.140625" style="4" customWidth="1"/>
    <col min="2" max="2" width="14.85546875" style="5" customWidth="1"/>
    <col min="3" max="3" width="56" style="5" customWidth="1"/>
    <col min="4" max="4" width="50.28515625" style="5" customWidth="1"/>
    <col min="6" max="6" width="110" customWidth="1"/>
  </cols>
  <sheetData>
    <row r="1" spans="1:6" ht="15.75">
      <c r="A1" s="14" t="s">
        <v>119</v>
      </c>
    </row>
    <row r="2" spans="1:6">
      <c r="A2" s="2" t="s">
        <v>4</v>
      </c>
    </row>
    <row r="3" spans="1:6">
      <c r="A3" s="2"/>
    </row>
    <row r="4" spans="1:6" s="1" customFormat="1" ht="30">
      <c r="A4" s="101" t="s">
        <v>0</v>
      </c>
      <c r="B4" s="105" t="s">
        <v>151</v>
      </c>
      <c r="C4" s="102" t="s">
        <v>1</v>
      </c>
      <c r="D4" s="135" t="s">
        <v>428</v>
      </c>
      <c r="E4" s="103" t="s">
        <v>2</v>
      </c>
      <c r="F4" s="104" t="s">
        <v>3</v>
      </c>
    </row>
    <row r="5" spans="1:6" s="17" customFormat="1">
      <c r="A5" s="18">
        <v>0</v>
      </c>
      <c r="B5" s="186" t="s">
        <v>11</v>
      </c>
      <c r="C5" s="23" t="s">
        <v>12</v>
      </c>
      <c r="D5" s="19"/>
      <c r="E5" s="116">
        <v>1</v>
      </c>
      <c r="F5" s="132" t="s">
        <v>444</v>
      </c>
    </row>
    <row r="6" spans="1:6" s="17" customFormat="1" ht="30">
      <c r="A6" s="20">
        <v>1</v>
      </c>
      <c r="B6" s="187"/>
      <c r="C6" s="24" t="s">
        <v>147</v>
      </c>
      <c r="D6" s="10" t="s">
        <v>116</v>
      </c>
      <c r="E6" s="114">
        <v>0</v>
      </c>
      <c r="F6" s="133"/>
    </row>
    <row r="7" spans="1:6" s="17" customFormat="1" ht="30">
      <c r="A7" s="21">
        <v>2</v>
      </c>
      <c r="B7" s="188"/>
      <c r="C7" s="25" t="s">
        <v>149</v>
      </c>
      <c r="D7" s="22" t="s">
        <v>117</v>
      </c>
      <c r="E7" s="118">
        <v>0</v>
      </c>
      <c r="F7" s="134"/>
    </row>
    <row r="8" spans="1:6" s="17" customFormat="1">
      <c r="A8" s="18">
        <v>0</v>
      </c>
      <c r="B8" s="186" t="s">
        <v>13</v>
      </c>
      <c r="C8" s="23" t="s">
        <v>14</v>
      </c>
      <c r="D8" s="19"/>
      <c r="E8" s="116">
        <v>1</v>
      </c>
      <c r="F8" s="132" t="s">
        <v>445</v>
      </c>
    </row>
    <row r="9" spans="1:6" s="17" customFormat="1" ht="30">
      <c r="A9" s="20">
        <v>1</v>
      </c>
      <c r="B9" s="187"/>
      <c r="C9" s="24" t="s">
        <v>148</v>
      </c>
      <c r="D9" s="10" t="s">
        <v>116</v>
      </c>
      <c r="E9" s="114">
        <v>1</v>
      </c>
      <c r="F9" s="133" t="s">
        <v>446</v>
      </c>
    </row>
    <row r="10" spans="1:6" s="17" customFormat="1" ht="30">
      <c r="A10" s="21">
        <v>2</v>
      </c>
      <c r="B10" s="188"/>
      <c r="C10" s="25" t="s">
        <v>150</v>
      </c>
      <c r="D10" s="22" t="s">
        <v>117</v>
      </c>
      <c r="E10" s="118">
        <v>0</v>
      </c>
      <c r="F10" s="134" t="s">
        <v>447</v>
      </c>
    </row>
    <row r="11" spans="1:6" s="17" customFormat="1">
      <c r="A11" s="18">
        <v>1</v>
      </c>
      <c r="B11" s="186" t="s">
        <v>15</v>
      </c>
      <c r="C11" s="23" t="s">
        <v>5</v>
      </c>
      <c r="D11" s="19" t="s">
        <v>118</v>
      </c>
      <c r="E11" s="116">
        <v>0</v>
      </c>
      <c r="F11" s="132" t="s">
        <v>448</v>
      </c>
    </row>
    <row r="12" spans="1:6" s="17" customFormat="1" ht="30">
      <c r="A12" s="20">
        <v>1</v>
      </c>
      <c r="B12" s="187"/>
      <c r="C12" s="24" t="s">
        <v>6</v>
      </c>
      <c r="D12" s="10" t="s">
        <v>9</v>
      </c>
      <c r="E12" s="114">
        <v>0</v>
      </c>
      <c r="F12" s="133"/>
    </row>
    <row r="13" spans="1:6" s="17" customFormat="1" ht="30">
      <c r="A13" s="20">
        <v>1</v>
      </c>
      <c r="B13" s="187"/>
      <c r="C13" s="26" t="s">
        <v>16</v>
      </c>
      <c r="D13" s="10"/>
      <c r="E13" s="114">
        <v>0</v>
      </c>
      <c r="F13" s="133"/>
    </row>
    <row r="14" spans="1:6" s="17" customFormat="1" ht="30">
      <c r="A14" s="20">
        <v>1</v>
      </c>
      <c r="B14" s="187"/>
      <c r="C14" s="26" t="s">
        <v>8</v>
      </c>
      <c r="D14" s="10"/>
      <c r="E14" s="114">
        <v>0</v>
      </c>
      <c r="F14" s="133"/>
    </row>
    <row r="15" spans="1:6" s="17" customFormat="1" ht="30">
      <c r="A15" s="20">
        <v>1</v>
      </c>
      <c r="B15" s="187"/>
      <c r="C15" s="26" t="s">
        <v>7</v>
      </c>
      <c r="D15" s="10"/>
      <c r="E15" s="114">
        <v>0</v>
      </c>
      <c r="F15" s="133"/>
    </row>
    <row r="16" spans="1:6" s="17" customFormat="1" ht="45">
      <c r="A16" s="21">
        <v>2</v>
      </c>
      <c r="B16" s="188"/>
      <c r="C16" s="25" t="s">
        <v>10</v>
      </c>
      <c r="D16" s="22"/>
      <c r="E16" s="118">
        <v>0</v>
      </c>
      <c r="F16" s="134"/>
    </row>
    <row r="17" spans="2:5" s="17" customFormat="1">
      <c r="B17" s="9"/>
      <c r="C17" s="9"/>
      <c r="D17" s="9"/>
    </row>
    <row r="18" spans="2:5">
      <c r="E18" s="85"/>
    </row>
  </sheetData>
  <mergeCells count="3">
    <mergeCell ref="B5:B7"/>
    <mergeCell ref="B8:B10"/>
    <mergeCell ref="B11:B16"/>
  </mergeCells>
  <dataValidations count="1">
    <dataValidation type="whole" operator="lessThanOrEqual" allowBlank="1" showErrorMessage="1" error="Please enter:&#10;&quot;0&quot; if No or None, or&#10;&quot;1&quot; if Yes&#10;" sqref="E1:E1048576">
      <formula1>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1:F17"/>
  <sheetViews>
    <sheetView topLeftCell="B1" workbookViewId="0">
      <selection activeCell="F5" sqref="F5"/>
    </sheetView>
  </sheetViews>
  <sheetFormatPr defaultRowHeight="15"/>
  <cols>
    <col min="1" max="1" width="9.140625" style="4" customWidth="1"/>
    <col min="2" max="2" width="14.85546875" style="5" customWidth="1"/>
    <col min="3" max="3" width="56" style="5" customWidth="1"/>
    <col min="4" max="4" width="50.28515625" customWidth="1"/>
    <col min="6" max="6" width="38.85546875" customWidth="1"/>
  </cols>
  <sheetData>
    <row r="1" spans="1:6" ht="15.75">
      <c r="A1" s="14" t="s">
        <v>120</v>
      </c>
      <c r="D1" s="5"/>
    </row>
    <row r="2" spans="1:6">
      <c r="A2" s="2" t="s">
        <v>4</v>
      </c>
      <c r="D2" s="5"/>
    </row>
    <row r="3" spans="1:6">
      <c r="A3" s="2"/>
      <c r="D3" s="5"/>
    </row>
    <row r="4" spans="1:6" s="145" customFormat="1" ht="30">
      <c r="A4" s="101" t="s">
        <v>0</v>
      </c>
      <c r="B4" s="105" t="s">
        <v>151</v>
      </c>
      <c r="C4" s="102" t="s">
        <v>1</v>
      </c>
      <c r="D4" s="135" t="s">
        <v>428</v>
      </c>
      <c r="E4" s="103" t="s">
        <v>2</v>
      </c>
      <c r="F4" s="104" t="s">
        <v>3</v>
      </c>
    </row>
    <row r="5" spans="1:6" ht="30">
      <c r="A5" s="30">
        <v>1</v>
      </c>
      <c r="B5" s="186" t="s">
        <v>23</v>
      </c>
      <c r="C5" s="33" t="s">
        <v>24</v>
      </c>
      <c r="D5" s="19"/>
      <c r="E5" s="116">
        <v>1</v>
      </c>
      <c r="F5" s="132" t="s">
        <v>450</v>
      </c>
    </row>
    <row r="6" spans="1:6" ht="45">
      <c r="A6" s="31">
        <v>1</v>
      </c>
      <c r="B6" s="187"/>
      <c r="C6" s="34" t="s">
        <v>25</v>
      </c>
      <c r="D6" s="10"/>
      <c r="E6" s="114">
        <v>1</v>
      </c>
      <c r="F6" s="133"/>
    </row>
    <row r="7" spans="1:6" ht="30">
      <c r="A7" s="31">
        <v>1</v>
      </c>
      <c r="B7" s="187"/>
      <c r="C7" s="34" t="s">
        <v>20</v>
      </c>
      <c r="D7" s="10"/>
      <c r="E7" s="114">
        <v>0</v>
      </c>
      <c r="F7" s="133"/>
    </row>
    <row r="8" spans="1:6" ht="30">
      <c r="A8" s="31">
        <v>2</v>
      </c>
      <c r="B8" s="187"/>
      <c r="C8" s="35" t="s">
        <v>17</v>
      </c>
      <c r="D8" s="10" t="s">
        <v>429</v>
      </c>
      <c r="E8" s="114">
        <v>0</v>
      </c>
      <c r="F8" s="133"/>
    </row>
    <row r="9" spans="1:6" ht="45">
      <c r="A9" s="31">
        <v>2</v>
      </c>
      <c r="B9" s="187"/>
      <c r="C9" s="35" t="s">
        <v>127</v>
      </c>
      <c r="D9" s="40" t="s">
        <v>131</v>
      </c>
      <c r="E9" s="114">
        <v>1</v>
      </c>
      <c r="F9" s="133" t="s">
        <v>449</v>
      </c>
    </row>
    <row r="10" spans="1:6">
      <c r="A10" s="31">
        <v>3</v>
      </c>
      <c r="B10" s="187"/>
      <c r="C10" s="34" t="s">
        <v>22</v>
      </c>
      <c r="D10" s="10"/>
      <c r="E10" s="114">
        <v>0</v>
      </c>
      <c r="F10" s="133"/>
    </row>
    <row r="11" spans="1:6">
      <c r="A11" s="32">
        <v>5</v>
      </c>
      <c r="B11" s="188"/>
      <c r="C11" s="36" t="s">
        <v>19</v>
      </c>
      <c r="D11" s="22"/>
      <c r="E11" s="118">
        <v>0</v>
      </c>
      <c r="F11" s="134"/>
    </row>
    <row r="12" spans="1:6" ht="45">
      <c r="A12" s="30">
        <v>2</v>
      </c>
      <c r="B12" s="186" t="s">
        <v>26</v>
      </c>
      <c r="C12" s="23" t="s">
        <v>21</v>
      </c>
      <c r="D12" s="19"/>
      <c r="E12" s="116">
        <v>0</v>
      </c>
      <c r="F12" s="132"/>
    </row>
    <row r="13" spans="1:6" ht="30">
      <c r="A13" s="32">
        <v>3</v>
      </c>
      <c r="B13" s="188"/>
      <c r="C13" s="25" t="s">
        <v>18</v>
      </c>
      <c r="D13" s="22"/>
      <c r="E13" s="118">
        <v>0</v>
      </c>
      <c r="F13" s="134"/>
    </row>
    <row r="14" spans="1:6">
      <c r="D14" s="84"/>
      <c r="E14" s="86"/>
      <c r="F14" s="84"/>
    </row>
    <row r="15" spans="1:6">
      <c r="C15" s="3"/>
      <c r="D15" s="79"/>
      <c r="E15" s="85"/>
      <c r="F15" s="79"/>
    </row>
    <row r="16" spans="1:6">
      <c r="C16" s="3"/>
      <c r="D16" s="79"/>
      <c r="E16" s="85"/>
      <c r="F16" s="79"/>
    </row>
    <row r="17" spans="3:3">
      <c r="C17" s="3"/>
    </row>
  </sheetData>
  <mergeCells count="2">
    <mergeCell ref="B5:B11"/>
    <mergeCell ref="B12:B13"/>
  </mergeCells>
  <dataValidations count="1">
    <dataValidation type="whole" operator="lessThanOrEqual" allowBlank="1" showErrorMessage="1" error="Please enter:&#10;&quot;0&quot; if No or None, or&#10;&quot;1&quot; if Yes" sqref="E1:E1048576">
      <formula1>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1:F16"/>
  <sheetViews>
    <sheetView topLeftCell="B3" workbookViewId="0">
      <selection activeCell="F5" sqref="F5"/>
    </sheetView>
  </sheetViews>
  <sheetFormatPr defaultRowHeight="15"/>
  <cols>
    <col min="1" max="1" width="9.140625" style="4" customWidth="1"/>
    <col min="2" max="2" width="14.85546875" style="5" customWidth="1"/>
    <col min="3" max="3" width="56" style="5" customWidth="1"/>
    <col min="4" max="4" width="50.28515625" customWidth="1"/>
    <col min="6" max="6" width="38.85546875" customWidth="1"/>
  </cols>
  <sheetData>
    <row r="1" spans="1:6" ht="15.75">
      <c r="A1" s="14" t="s">
        <v>121</v>
      </c>
      <c r="D1" s="5"/>
    </row>
    <row r="2" spans="1:6">
      <c r="A2" s="2" t="s">
        <v>4</v>
      </c>
      <c r="D2" s="5"/>
    </row>
    <row r="3" spans="1:6">
      <c r="A3" s="2"/>
      <c r="D3" s="5"/>
    </row>
    <row r="4" spans="1:6" s="145" customFormat="1" ht="30">
      <c r="A4" s="101" t="s">
        <v>0</v>
      </c>
      <c r="B4" s="106" t="s">
        <v>151</v>
      </c>
      <c r="C4" s="102" t="s">
        <v>1</v>
      </c>
      <c r="D4" s="135" t="s">
        <v>428</v>
      </c>
      <c r="E4" s="103" t="s">
        <v>2</v>
      </c>
      <c r="F4" s="104" t="s">
        <v>3</v>
      </c>
    </row>
    <row r="5" spans="1:6" s="17" customFormat="1" ht="30">
      <c r="A5" s="28">
        <v>0</v>
      </c>
      <c r="B5" s="186" t="s">
        <v>39</v>
      </c>
      <c r="C5" s="41" t="s">
        <v>38</v>
      </c>
      <c r="D5" s="39" t="s">
        <v>128</v>
      </c>
      <c r="E5" s="114">
        <v>0</v>
      </c>
      <c r="F5" s="129" t="s">
        <v>457</v>
      </c>
    </row>
    <row r="6" spans="1:6" s="17" customFormat="1" ht="45">
      <c r="A6" s="28">
        <v>0</v>
      </c>
      <c r="B6" s="187"/>
      <c r="C6" s="41" t="s">
        <v>27</v>
      </c>
      <c r="D6" s="39" t="s">
        <v>129</v>
      </c>
      <c r="E6" s="114">
        <v>0</v>
      </c>
      <c r="F6" s="129"/>
    </row>
    <row r="7" spans="1:6" s="17" customFormat="1" ht="30">
      <c r="A7" s="27">
        <v>1</v>
      </c>
      <c r="B7" s="186" t="s">
        <v>40</v>
      </c>
      <c r="C7" s="42" t="s">
        <v>28</v>
      </c>
      <c r="D7" s="27" t="s">
        <v>451</v>
      </c>
      <c r="E7" s="116">
        <v>0</v>
      </c>
      <c r="F7" s="130"/>
    </row>
    <row r="8" spans="1:6" s="17" customFormat="1" ht="30">
      <c r="A8" s="28">
        <v>2</v>
      </c>
      <c r="B8" s="187"/>
      <c r="C8" s="26" t="s">
        <v>30</v>
      </c>
      <c r="D8" s="28" t="s">
        <v>452</v>
      </c>
      <c r="E8" s="114">
        <v>0</v>
      </c>
      <c r="F8" s="129"/>
    </row>
    <row r="9" spans="1:6" s="17" customFormat="1" ht="30">
      <c r="A9" s="28">
        <v>3</v>
      </c>
      <c r="B9" s="187"/>
      <c r="C9" s="41" t="s">
        <v>41</v>
      </c>
      <c r="D9" s="28" t="s">
        <v>453</v>
      </c>
      <c r="E9" s="114">
        <v>0</v>
      </c>
      <c r="F9" s="129"/>
    </row>
    <row r="10" spans="1:6" s="17" customFormat="1" ht="30">
      <c r="A10" s="28">
        <v>3</v>
      </c>
      <c r="B10" s="187"/>
      <c r="C10" s="41" t="s">
        <v>42</v>
      </c>
      <c r="D10" s="28" t="s">
        <v>454</v>
      </c>
      <c r="E10" s="114">
        <v>0</v>
      </c>
      <c r="F10" s="129"/>
    </row>
    <row r="11" spans="1:6" s="17" customFormat="1" ht="45">
      <c r="A11" s="29">
        <v>3</v>
      </c>
      <c r="B11" s="188"/>
      <c r="C11" s="43" t="s">
        <v>31</v>
      </c>
      <c r="D11" s="40" t="s">
        <v>455</v>
      </c>
      <c r="E11" s="118">
        <v>0</v>
      </c>
      <c r="F11" s="131"/>
    </row>
    <row r="12" spans="1:6" s="17" customFormat="1" ht="30">
      <c r="A12" s="28">
        <v>2</v>
      </c>
      <c r="B12" s="187" t="s">
        <v>43</v>
      </c>
      <c r="C12" s="24" t="s">
        <v>29</v>
      </c>
      <c r="D12" s="28"/>
      <c r="E12" s="114">
        <v>0</v>
      </c>
      <c r="F12" s="129"/>
    </row>
    <row r="13" spans="1:6" s="17" customFormat="1" ht="30">
      <c r="A13" s="28">
        <v>4</v>
      </c>
      <c r="B13" s="187"/>
      <c r="C13" s="24" t="s">
        <v>32</v>
      </c>
      <c r="D13" s="39" t="s">
        <v>130</v>
      </c>
      <c r="E13" s="114">
        <v>0</v>
      </c>
      <c r="F13" s="129"/>
    </row>
    <row r="14" spans="1:6" s="17" customFormat="1" ht="75">
      <c r="A14" s="29">
        <v>5</v>
      </c>
      <c r="B14" s="188"/>
      <c r="C14" s="25" t="s">
        <v>33</v>
      </c>
      <c r="D14" s="40" t="s">
        <v>456</v>
      </c>
      <c r="E14" s="118">
        <v>0</v>
      </c>
      <c r="F14" s="131"/>
    </row>
    <row r="15" spans="1:6">
      <c r="C15" s="3"/>
    </row>
    <row r="16" spans="1:6">
      <c r="C16" s="3"/>
    </row>
  </sheetData>
  <mergeCells count="3">
    <mergeCell ref="B5:B6"/>
    <mergeCell ref="B7:B11"/>
    <mergeCell ref="B12:B14"/>
  </mergeCells>
  <dataValidations count="1">
    <dataValidation type="whole" operator="lessThanOrEqual" allowBlank="1" showErrorMessage="1" error="Please enter:&#10;&quot;0&quot; if No or None, or&#10;&quot;1&quot; if Yes" sqref="E1:E1048576">
      <formula1>1</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F22"/>
  <sheetViews>
    <sheetView topLeftCell="D12" workbookViewId="0">
      <selection activeCell="F22" sqref="F22"/>
    </sheetView>
  </sheetViews>
  <sheetFormatPr defaultRowHeight="15"/>
  <cols>
    <col min="1" max="1" width="9.140625" style="4" customWidth="1"/>
    <col min="2" max="2" width="14.85546875" customWidth="1"/>
    <col min="3" max="3" width="56" style="5" customWidth="1"/>
    <col min="4" max="4" width="50.28515625" customWidth="1"/>
    <col min="6" max="6" width="94.5703125" customWidth="1"/>
  </cols>
  <sheetData>
    <row r="1" spans="1:6" ht="15.75">
      <c r="A1" s="14" t="s">
        <v>122</v>
      </c>
      <c r="D1" s="5"/>
    </row>
    <row r="2" spans="1:6">
      <c r="A2" s="2" t="s">
        <v>4</v>
      </c>
      <c r="D2" s="5"/>
    </row>
    <row r="4" spans="1:6" s="145" customFormat="1" ht="30">
      <c r="A4" s="101" t="s">
        <v>0</v>
      </c>
      <c r="B4" s="105" t="s">
        <v>151</v>
      </c>
      <c r="C4" s="102" t="s">
        <v>1</v>
      </c>
      <c r="D4" s="135" t="s">
        <v>428</v>
      </c>
      <c r="E4" s="103" t="s">
        <v>2</v>
      </c>
      <c r="F4" s="104" t="s">
        <v>3</v>
      </c>
    </row>
    <row r="5" spans="1:6" ht="30">
      <c r="A5" s="27">
        <v>0</v>
      </c>
      <c r="B5" s="189" t="s">
        <v>57</v>
      </c>
      <c r="C5" s="44" t="s">
        <v>47</v>
      </c>
      <c r="D5" s="27"/>
      <c r="E5" s="116">
        <v>0</v>
      </c>
      <c r="F5" s="126"/>
    </row>
    <row r="6" spans="1:6" ht="45">
      <c r="A6" s="29">
        <v>2</v>
      </c>
      <c r="B6" s="190"/>
      <c r="C6" s="48" t="s">
        <v>458</v>
      </c>
      <c r="D6" s="40" t="s">
        <v>131</v>
      </c>
      <c r="E6" s="118">
        <v>0</v>
      </c>
      <c r="F6" s="127" t="s">
        <v>459</v>
      </c>
    </row>
    <row r="7" spans="1:6" ht="30">
      <c r="A7" s="45">
        <v>1</v>
      </c>
      <c r="B7" s="191" t="s">
        <v>59</v>
      </c>
      <c r="C7" s="38" t="s">
        <v>49</v>
      </c>
      <c r="D7" s="28"/>
      <c r="E7" s="114">
        <v>1</v>
      </c>
      <c r="F7" s="128" t="s">
        <v>460</v>
      </c>
    </row>
    <row r="8" spans="1:6">
      <c r="A8" s="45">
        <v>1</v>
      </c>
      <c r="B8" s="191"/>
      <c r="C8" s="38" t="s">
        <v>62</v>
      </c>
      <c r="D8" s="28" t="s">
        <v>132</v>
      </c>
      <c r="E8" s="114">
        <v>1</v>
      </c>
      <c r="F8" s="128" t="s">
        <v>461</v>
      </c>
    </row>
    <row r="9" spans="1:6" ht="45">
      <c r="A9" s="45">
        <v>2</v>
      </c>
      <c r="B9" s="191"/>
      <c r="C9" s="38" t="s">
        <v>51</v>
      </c>
      <c r="D9" s="28" t="s">
        <v>132</v>
      </c>
      <c r="E9" s="114">
        <v>0</v>
      </c>
      <c r="F9" s="128" t="s">
        <v>462</v>
      </c>
    </row>
    <row r="10" spans="1:6" ht="30">
      <c r="A10" s="45">
        <v>3</v>
      </c>
      <c r="B10" s="191"/>
      <c r="C10" s="38" t="s">
        <v>53</v>
      </c>
      <c r="D10" s="28" t="s">
        <v>132</v>
      </c>
      <c r="E10" s="114">
        <v>1</v>
      </c>
      <c r="F10" s="128" t="s">
        <v>463</v>
      </c>
    </row>
    <row r="11" spans="1:6">
      <c r="A11" s="27">
        <v>1</v>
      </c>
      <c r="B11" s="189" t="s">
        <v>65</v>
      </c>
      <c r="C11" s="44" t="s">
        <v>60</v>
      </c>
      <c r="D11" s="27"/>
      <c r="E11" s="116">
        <v>1</v>
      </c>
      <c r="F11" s="126" t="s">
        <v>464</v>
      </c>
    </row>
    <row r="12" spans="1:6" ht="45">
      <c r="A12" s="28">
        <v>1</v>
      </c>
      <c r="B12" s="191"/>
      <c r="C12" s="39" t="s">
        <v>61</v>
      </c>
      <c r="D12" s="28"/>
      <c r="E12" s="114">
        <v>1</v>
      </c>
      <c r="F12" s="128" t="s">
        <v>465</v>
      </c>
    </row>
    <row r="13" spans="1:6" ht="30">
      <c r="A13" s="28">
        <v>1</v>
      </c>
      <c r="B13" s="191"/>
      <c r="C13" s="39" t="s">
        <v>56</v>
      </c>
      <c r="D13" s="39" t="s">
        <v>133</v>
      </c>
      <c r="E13" s="114"/>
      <c r="F13" s="128" t="s">
        <v>466</v>
      </c>
    </row>
    <row r="14" spans="1:6" ht="30">
      <c r="A14" s="28">
        <v>1</v>
      </c>
      <c r="B14" s="191"/>
      <c r="C14" s="39" t="s">
        <v>64</v>
      </c>
      <c r="D14" s="28" t="s">
        <v>134</v>
      </c>
      <c r="E14" s="114">
        <v>0</v>
      </c>
      <c r="F14" s="128" t="s">
        <v>467</v>
      </c>
    </row>
    <row r="15" spans="1:6" ht="30">
      <c r="A15" s="45">
        <v>1</v>
      </c>
      <c r="B15" s="191"/>
      <c r="C15" s="38" t="s">
        <v>63</v>
      </c>
      <c r="D15" s="46"/>
      <c r="E15" s="114">
        <v>1</v>
      </c>
      <c r="F15" s="128"/>
    </row>
    <row r="16" spans="1:6" ht="30">
      <c r="A16" s="45">
        <v>2</v>
      </c>
      <c r="B16" s="191"/>
      <c r="C16" s="38" t="s">
        <v>52</v>
      </c>
      <c r="D16" s="39" t="s">
        <v>135</v>
      </c>
      <c r="E16" s="114">
        <v>0</v>
      </c>
      <c r="F16" s="128"/>
    </row>
    <row r="17" spans="1:6">
      <c r="A17" s="45">
        <v>3</v>
      </c>
      <c r="B17" s="191"/>
      <c r="C17" s="47" t="s">
        <v>58</v>
      </c>
      <c r="D17" s="28"/>
      <c r="E17" s="114">
        <v>0</v>
      </c>
      <c r="F17" s="128" t="s">
        <v>468</v>
      </c>
    </row>
    <row r="18" spans="1:6" ht="30">
      <c r="A18" s="45">
        <v>3</v>
      </c>
      <c r="B18" s="191"/>
      <c r="C18" s="39" t="s">
        <v>46</v>
      </c>
      <c r="D18" s="28" t="s">
        <v>134</v>
      </c>
      <c r="E18" s="114">
        <v>0</v>
      </c>
      <c r="F18" s="128"/>
    </row>
    <row r="19" spans="1:6" ht="30">
      <c r="A19" s="45">
        <v>4</v>
      </c>
      <c r="B19" s="191"/>
      <c r="C19" s="39" t="s">
        <v>54</v>
      </c>
      <c r="D19" s="28" t="s">
        <v>134</v>
      </c>
      <c r="E19" s="114">
        <v>0</v>
      </c>
      <c r="F19" s="128"/>
    </row>
    <row r="20" spans="1:6" ht="30">
      <c r="A20" s="49">
        <v>5</v>
      </c>
      <c r="B20" s="190"/>
      <c r="C20" s="40" t="s">
        <v>55</v>
      </c>
      <c r="D20" s="29" t="s">
        <v>134</v>
      </c>
      <c r="E20" s="118">
        <v>0</v>
      </c>
      <c r="F20" s="127"/>
    </row>
    <row r="21" spans="1:6" ht="45">
      <c r="A21" s="28">
        <v>1</v>
      </c>
      <c r="B21" s="191" t="s">
        <v>67</v>
      </c>
      <c r="C21" s="39" t="s">
        <v>48</v>
      </c>
      <c r="D21" s="28" t="s">
        <v>469</v>
      </c>
      <c r="E21" s="114">
        <v>0</v>
      </c>
      <c r="F21" s="128" t="s">
        <v>470</v>
      </c>
    </row>
    <row r="22" spans="1:6" ht="30">
      <c r="A22" s="29">
        <v>2</v>
      </c>
      <c r="B22" s="190"/>
      <c r="C22" s="48" t="s">
        <v>50</v>
      </c>
      <c r="D22" s="29"/>
      <c r="E22" s="118">
        <v>0</v>
      </c>
      <c r="F22" s="127" t="s">
        <v>471</v>
      </c>
    </row>
  </sheetData>
  <mergeCells count="4">
    <mergeCell ref="B5:B6"/>
    <mergeCell ref="B7:B10"/>
    <mergeCell ref="B11:B20"/>
    <mergeCell ref="B21:B22"/>
  </mergeCells>
  <dataValidations count="1">
    <dataValidation type="whole" operator="lessThanOrEqual" allowBlank="1" showErrorMessage="1" error="Please enter:&#10;&quot;0&quot; if No or None, or&#10;&quot;1&quot; if Yes" sqref="E1:E1048576">
      <formula1>1</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1:F33"/>
  <sheetViews>
    <sheetView topLeftCell="D18" workbookViewId="0">
      <selection activeCell="F28" sqref="F28"/>
    </sheetView>
  </sheetViews>
  <sheetFormatPr defaultRowHeight="15"/>
  <cols>
    <col min="1" max="1" width="9.140625" style="4" customWidth="1"/>
    <col min="2" max="2" width="14.85546875" style="75" customWidth="1"/>
    <col min="3" max="3" width="56" style="5" customWidth="1"/>
    <col min="4" max="4" width="50.28515625" customWidth="1"/>
    <col min="6" max="6" width="85.42578125" customWidth="1"/>
  </cols>
  <sheetData>
    <row r="1" spans="1:6" ht="15.75">
      <c r="A1" s="14" t="s">
        <v>123</v>
      </c>
      <c r="D1" s="5"/>
    </row>
    <row r="2" spans="1:6">
      <c r="A2" s="2" t="s">
        <v>4</v>
      </c>
      <c r="D2" s="5"/>
    </row>
    <row r="4" spans="1:6" s="145" customFormat="1" ht="30">
      <c r="A4" s="101" t="s">
        <v>0</v>
      </c>
      <c r="B4" s="108" t="s">
        <v>151</v>
      </c>
      <c r="C4" s="107" t="s">
        <v>1</v>
      </c>
      <c r="D4" s="135" t="s">
        <v>428</v>
      </c>
      <c r="E4" s="103" t="s">
        <v>2</v>
      </c>
      <c r="F4" s="104" t="s">
        <v>3</v>
      </c>
    </row>
    <row r="5" spans="1:6" s="8" customFormat="1" ht="30">
      <c r="A5" s="67">
        <v>1</v>
      </c>
      <c r="B5" s="192" t="s">
        <v>89</v>
      </c>
      <c r="C5" s="41" t="s">
        <v>69</v>
      </c>
      <c r="D5" s="172"/>
      <c r="E5" s="120">
        <v>1</v>
      </c>
      <c r="F5" s="121" t="s">
        <v>472</v>
      </c>
    </row>
    <row r="6" spans="1:6" s="8" customFormat="1" ht="45">
      <c r="A6" s="67">
        <v>1</v>
      </c>
      <c r="B6" s="193"/>
      <c r="C6" s="26" t="s">
        <v>70</v>
      </c>
      <c r="D6" s="172" t="s">
        <v>136</v>
      </c>
      <c r="E6" s="120">
        <v>1</v>
      </c>
      <c r="F6" s="121" t="s">
        <v>473</v>
      </c>
    </row>
    <row r="7" spans="1:6" s="8" customFormat="1" ht="30">
      <c r="A7" s="67">
        <v>2</v>
      </c>
      <c r="B7" s="193"/>
      <c r="C7" s="26" t="s">
        <v>87</v>
      </c>
      <c r="D7" s="172"/>
      <c r="E7" s="120">
        <v>0</v>
      </c>
      <c r="F7" s="121" t="s">
        <v>474</v>
      </c>
    </row>
    <row r="8" spans="1:6" s="8" customFormat="1" ht="30">
      <c r="A8" s="67">
        <v>2</v>
      </c>
      <c r="B8" s="193"/>
      <c r="C8" s="73" t="s">
        <v>72</v>
      </c>
      <c r="D8" s="172"/>
      <c r="E8" s="120">
        <v>0</v>
      </c>
      <c r="F8" s="121" t="s">
        <v>475</v>
      </c>
    </row>
    <row r="9" spans="1:6" s="8" customFormat="1" ht="60">
      <c r="A9" s="68">
        <v>3</v>
      </c>
      <c r="B9" s="193"/>
      <c r="C9" s="41" t="s">
        <v>440</v>
      </c>
      <c r="D9" s="172"/>
      <c r="E9" s="120">
        <v>0</v>
      </c>
      <c r="F9" s="121" t="s">
        <v>476</v>
      </c>
    </row>
    <row r="10" spans="1:6" s="8" customFormat="1" ht="30">
      <c r="A10" s="68">
        <v>4</v>
      </c>
      <c r="B10" s="193"/>
      <c r="C10" s="41" t="s">
        <v>80</v>
      </c>
      <c r="D10" s="172"/>
      <c r="E10" s="120">
        <v>0</v>
      </c>
      <c r="F10" s="121" t="s">
        <v>477</v>
      </c>
    </row>
    <row r="11" spans="1:6" s="8" customFormat="1" ht="30">
      <c r="A11" s="68">
        <v>5</v>
      </c>
      <c r="B11" s="193"/>
      <c r="C11" s="73" t="s">
        <v>85</v>
      </c>
      <c r="D11" s="172"/>
      <c r="E11" s="120">
        <v>0</v>
      </c>
      <c r="F11" s="121" t="s">
        <v>478</v>
      </c>
    </row>
    <row r="12" spans="1:6" s="8" customFormat="1">
      <c r="A12" s="71">
        <v>1</v>
      </c>
      <c r="B12" s="77" t="s">
        <v>88</v>
      </c>
      <c r="C12" s="78" t="s">
        <v>71</v>
      </c>
      <c r="D12" s="173"/>
      <c r="E12" s="122">
        <v>0</v>
      </c>
      <c r="F12" s="123" t="s">
        <v>479</v>
      </c>
    </row>
    <row r="13" spans="1:6" s="8" customFormat="1" ht="30">
      <c r="A13" s="67">
        <v>2</v>
      </c>
      <c r="B13" s="194"/>
      <c r="C13" s="74" t="s">
        <v>73</v>
      </c>
      <c r="D13" s="172"/>
      <c r="E13" s="120">
        <v>0</v>
      </c>
      <c r="F13" s="121" t="s">
        <v>480</v>
      </c>
    </row>
    <row r="14" spans="1:6" s="8" customFormat="1" ht="30">
      <c r="A14" s="67">
        <v>2</v>
      </c>
      <c r="B14" s="194"/>
      <c r="C14" s="74" t="s">
        <v>74</v>
      </c>
      <c r="D14" s="172"/>
      <c r="E14" s="120">
        <v>0</v>
      </c>
      <c r="F14" s="121" t="s">
        <v>481</v>
      </c>
    </row>
    <row r="15" spans="1:6" s="8" customFormat="1" ht="45">
      <c r="A15" s="67">
        <v>3</v>
      </c>
      <c r="B15" s="194"/>
      <c r="C15" s="24" t="s">
        <v>126</v>
      </c>
      <c r="D15" s="172" t="s">
        <v>137</v>
      </c>
      <c r="E15" s="120">
        <v>0</v>
      </c>
      <c r="F15" s="121" t="s">
        <v>482</v>
      </c>
    </row>
    <row r="16" spans="1:6" s="8" customFormat="1" ht="30">
      <c r="A16" s="67">
        <v>4</v>
      </c>
      <c r="B16" s="194"/>
      <c r="C16" s="24" t="s">
        <v>79</v>
      </c>
      <c r="D16" s="172"/>
      <c r="E16" s="120">
        <v>0</v>
      </c>
      <c r="F16" s="121" t="s">
        <v>483</v>
      </c>
    </row>
    <row r="17" spans="1:6" s="8" customFormat="1" ht="30">
      <c r="A17" s="72">
        <v>5</v>
      </c>
      <c r="B17" s="195"/>
      <c r="C17" s="25" t="s">
        <v>83</v>
      </c>
      <c r="D17" s="174"/>
      <c r="E17" s="124">
        <v>1</v>
      </c>
      <c r="F17" s="125" t="s">
        <v>484</v>
      </c>
    </row>
    <row r="18" spans="1:6" s="8" customFormat="1" ht="30">
      <c r="A18" s="68">
        <v>1</v>
      </c>
      <c r="B18" s="196" t="s">
        <v>92</v>
      </c>
      <c r="C18" s="24" t="s">
        <v>68</v>
      </c>
      <c r="D18" s="172"/>
      <c r="E18" s="120">
        <v>1</v>
      </c>
      <c r="F18" s="121" t="s">
        <v>485</v>
      </c>
    </row>
    <row r="19" spans="1:6" s="8" customFormat="1" ht="30">
      <c r="A19" s="68">
        <v>2</v>
      </c>
      <c r="B19" s="197"/>
      <c r="C19" s="74" t="s">
        <v>75</v>
      </c>
      <c r="D19" s="172" t="s">
        <v>435</v>
      </c>
      <c r="E19" s="120">
        <v>0</v>
      </c>
      <c r="F19" s="121" t="s">
        <v>486</v>
      </c>
    </row>
    <row r="20" spans="1:6" s="8" customFormat="1" ht="30">
      <c r="A20" s="69">
        <v>2</v>
      </c>
      <c r="B20" s="197"/>
      <c r="C20" s="74" t="s">
        <v>76</v>
      </c>
      <c r="D20" s="172"/>
      <c r="E20" s="120">
        <v>1</v>
      </c>
      <c r="F20" s="121" t="s">
        <v>487</v>
      </c>
    </row>
    <row r="21" spans="1:6" s="8" customFormat="1" ht="30">
      <c r="A21" s="69">
        <v>3</v>
      </c>
      <c r="B21" s="197"/>
      <c r="C21" s="24" t="s">
        <v>77</v>
      </c>
      <c r="D21" s="172" t="s">
        <v>436</v>
      </c>
      <c r="E21" s="120">
        <v>1</v>
      </c>
      <c r="F21" s="121" t="s">
        <v>488</v>
      </c>
    </row>
    <row r="22" spans="1:6" s="8" customFormat="1" ht="30">
      <c r="A22" s="67">
        <v>3</v>
      </c>
      <c r="B22" s="197"/>
      <c r="C22" s="41" t="s">
        <v>91</v>
      </c>
      <c r="D22" s="172" t="s">
        <v>437</v>
      </c>
      <c r="E22" s="120">
        <v>0</v>
      </c>
      <c r="F22" s="121" t="s">
        <v>489</v>
      </c>
    </row>
    <row r="23" spans="1:6" s="8" customFormat="1" ht="30">
      <c r="A23" s="67">
        <v>3</v>
      </c>
      <c r="B23" s="197"/>
      <c r="C23" s="41" t="s">
        <v>90</v>
      </c>
      <c r="D23" s="176" t="s">
        <v>438</v>
      </c>
      <c r="E23" s="120">
        <v>1</v>
      </c>
      <c r="F23" s="121" t="s">
        <v>490</v>
      </c>
    </row>
    <row r="24" spans="1:6" s="8" customFormat="1">
      <c r="A24" s="67">
        <v>4</v>
      </c>
      <c r="B24" s="197"/>
      <c r="C24" s="24" t="s">
        <v>86</v>
      </c>
      <c r="D24" s="172"/>
      <c r="E24" s="120">
        <v>0</v>
      </c>
      <c r="F24" s="121" t="s">
        <v>491</v>
      </c>
    </row>
    <row r="25" spans="1:6" s="8" customFormat="1" ht="45">
      <c r="A25" s="67">
        <v>4</v>
      </c>
      <c r="B25" s="197"/>
      <c r="C25" s="24" t="s">
        <v>78</v>
      </c>
      <c r="D25" s="172"/>
      <c r="E25" s="120">
        <v>0</v>
      </c>
      <c r="F25" s="121" t="s">
        <v>478</v>
      </c>
    </row>
    <row r="26" spans="1:6" s="8" customFormat="1" ht="30">
      <c r="A26" s="67">
        <v>4</v>
      </c>
      <c r="B26" s="197"/>
      <c r="C26" s="24" t="s">
        <v>81</v>
      </c>
      <c r="D26" s="172"/>
      <c r="E26" s="120">
        <v>0</v>
      </c>
      <c r="F26" s="121" t="s">
        <v>478</v>
      </c>
    </row>
    <row r="27" spans="1:6" s="8" customFormat="1" ht="30">
      <c r="A27" s="67">
        <v>4</v>
      </c>
      <c r="B27" s="197"/>
      <c r="C27" s="24" t="s">
        <v>82</v>
      </c>
      <c r="D27" s="172"/>
      <c r="E27" s="120">
        <v>0</v>
      </c>
      <c r="F27" s="121" t="s">
        <v>478</v>
      </c>
    </row>
    <row r="28" spans="1:6" s="8" customFormat="1" ht="30">
      <c r="A28" s="70">
        <v>5</v>
      </c>
      <c r="B28" s="198"/>
      <c r="C28" s="25" t="s">
        <v>84</v>
      </c>
      <c r="D28" s="175"/>
      <c r="E28" s="124">
        <v>0</v>
      </c>
      <c r="F28" s="121" t="s">
        <v>478</v>
      </c>
    </row>
    <row r="29" spans="1:6" s="8" customFormat="1">
      <c r="A29" s="13"/>
      <c r="B29" s="76"/>
      <c r="C29" s="12"/>
      <c r="F29" s="125"/>
    </row>
    <row r="30" spans="1:6" s="8" customFormat="1">
      <c r="A30" s="13"/>
      <c r="B30" s="76"/>
      <c r="C30" s="12"/>
    </row>
    <row r="31" spans="1:6" s="8" customFormat="1">
      <c r="A31" s="13"/>
      <c r="B31" s="76"/>
      <c r="C31" s="12"/>
    </row>
    <row r="32" spans="1:6" s="8" customFormat="1">
      <c r="A32" s="13"/>
      <c r="B32" s="76"/>
      <c r="C32" s="12"/>
    </row>
    <row r="33" spans="6:6">
      <c r="F33" s="8"/>
    </row>
  </sheetData>
  <mergeCells count="3">
    <mergeCell ref="B5:B11"/>
    <mergeCell ref="B13:B17"/>
    <mergeCell ref="B18:B28"/>
  </mergeCells>
  <dataValidations count="1">
    <dataValidation type="whole" operator="lessThanOrEqual" allowBlank="1" showErrorMessage="1" error="Please enter:&#10;&quot;0&quot; if No or None, or&#10;&quot;1&quot; if Yes" sqref="E1:E1048576">
      <formula1>1</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F20"/>
  <sheetViews>
    <sheetView workbookViewId="0">
      <selection activeCell="F7" sqref="F7"/>
    </sheetView>
  </sheetViews>
  <sheetFormatPr defaultRowHeight="15"/>
  <cols>
    <col min="1" max="1" width="9.140625" style="4" customWidth="1"/>
    <col min="2" max="2" width="2.7109375" customWidth="1"/>
    <col min="3" max="3" width="56" style="5" customWidth="1"/>
    <col min="4" max="4" width="50.28515625" customWidth="1"/>
    <col min="6" max="6" width="38.85546875" customWidth="1"/>
  </cols>
  <sheetData>
    <row r="1" spans="1:6" ht="15.75">
      <c r="A1" s="14" t="s">
        <v>124</v>
      </c>
      <c r="D1" s="5"/>
    </row>
    <row r="2" spans="1:6">
      <c r="A2" s="2" t="s">
        <v>4</v>
      </c>
      <c r="D2" s="5"/>
    </row>
    <row r="4" spans="1:6" s="145" customFormat="1" ht="30">
      <c r="A4" s="101" t="s">
        <v>0</v>
      </c>
      <c r="B4" s="105" t="s">
        <v>151</v>
      </c>
      <c r="C4" s="104" t="s">
        <v>1</v>
      </c>
      <c r="D4" s="135" t="s">
        <v>428</v>
      </c>
      <c r="E4" s="103" t="s">
        <v>2</v>
      </c>
      <c r="F4" s="104" t="s">
        <v>3</v>
      </c>
    </row>
    <row r="5" spans="1:6" ht="30">
      <c r="A5" s="31">
        <v>1</v>
      </c>
      <c r="B5" s="81"/>
      <c r="C5" s="24" t="s">
        <v>93</v>
      </c>
      <c r="D5" s="79" t="s">
        <v>138</v>
      </c>
      <c r="E5" s="114">
        <v>1</v>
      </c>
      <c r="F5" s="115" t="s">
        <v>492</v>
      </c>
    </row>
    <row r="6" spans="1:6" ht="30">
      <c r="A6" s="31">
        <v>3</v>
      </c>
      <c r="B6" s="82"/>
      <c r="C6" s="24" t="s">
        <v>94</v>
      </c>
      <c r="D6" s="79"/>
      <c r="E6" s="114">
        <v>0</v>
      </c>
      <c r="F6" s="115" t="s">
        <v>478</v>
      </c>
    </row>
    <row r="7" spans="1:6" ht="30">
      <c r="A7" s="32">
        <v>3</v>
      </c>
      <c r="B7" s="83"/>
      <c r="C7" s="25" t="s">
        <v>46</v>
      </c>
      <c r="D7" s="80"/>
      <c r="E7" s="118">
        <v>0</v>
      </c>
      <c r="F7" s="119" t="s">
        <v>493</v>
      </c>
    </row>
    <row r="10" spans="1:6">
      <c r="B10" s="6"/>
      <c r="C10" s="7"/>
    </row>
    <row r="15" spans="1:6">
      <c r="B15" s="6"/>
    </row>
    <row r="18" spans="3:3">
      <c r="C18" s="3"/>
    </row>
    <row r="19" spans="3:3">
      <c r="C19" s="3"/>
    </row>
    <row r="20" spans="3:3">
      <c r="C20" s="3"/>
    </row>
  </sheetData>
  <dataValidations count="1">
    <dataValidation type="whole" operator="lessThanOrEqual" allowBlank="1" showErrorMessage="1" error="Please enter:&#10;&quot;0&quot; if No or None, or&#10;&quot;1&quot; if Yes" sqref="E1:E1048576">
      <formula1>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23</vt:i4>
      </vt:variant>
    </vt:vector>
  </HeadingPairs>
  <TitlesOfParts>
    <vt:vector size="35" baseType="lpstr">
      <vt:lpstr>INSTRUCTIONS</vt:lpstr>
      <vt:lpstr>Country profile</vt:lpstr>
      <vt:lpstr>country</vt:lpstr>
      <vt:lpstr>Legislation</vt:lpstr>
      <vt:lpstr>Data coll &amp; ax</vt:lpstr>
      <vt:lpstr>Lab dx</vt:lpstr>
      <vt:lpstr>IEC</vt:lpstr>
      <vt:lpstr>Prev &amp; Ctrl</vt:lpstr>
      <vt:lpstr>Dog popn</vt:lpstr>
      <vt:lpstr>Cross-cutting issues</vt:lpstr>
      <vt:lpstr>SUMMARY (Score)</vt:lpstr>
      <vt:lpstr>SUMMARY (Stage)</vt:lpstr>
      <vt:lpstr>A_case_definition_for_animal_rabies_is_available</vt:lpstr>
      <vt:lpstr>ACHIEVEMENTS___ACTIVITIES</vt:lpstr>
      <vt:lpstr>COUNTRY</vt:lpstr>
      <vt:lpstr>crossstage</vt:lpstr>
      <vt:lpstr>crossstatus</vt:lpstr>
      <vt:lpstr>datastage</vt:lpstr>
      <vt:lpstr>datastatus</vt:lpstr>
      <vt:lpstr>dogstage</vt:lpstr>
      <vt:lpstr>dogstatus</vt:lpstr>
      <vt:lpstr>iecstage</vt:lpstr>
      <vt:lpstr>iecstatus</vt:lpstr>
      <vt:lpstr>labstage</vt:lpstr>
      <vt:lpstr>labstatus</vt:lpstr>
      <vt:lpstr>National_case_definition_for_animal_rabies</vt:lpstr>
      <vt:lpstr>OTHER_IMPORTANT_INFORMATION</vt:lpstr>
      <vt:lpstr>prevstage</vt:lpstr>
      <vt:lpstr>prevstatus</vt:lpstr>
      <vt:lpstr>'SUMMARY (Stage)'!Print_Titles</vt:lpstr>
      <vt:lpstr>REMARKS</vt:lpstr>
      <vt:lpstr>STAGE</vt:lpstr>
      <vt:lpstr>STATUS</vt:lpstr>
      <vt:lpstr>subcomponent</vt:lpstr>
      <vt:lpstr>tbl</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 Asia Research</dc:creator>
  <cp:lastModifiedBy>PROF. OGUNKOYA</cp:lastModifiedBy>
  <cp:lastPrinted>2015-08-14T07:51:43Z</cp:lastPrinted>
  <dcterms:created xsi:type="dcterms:W3CDTF">2015-04-17T07:47:18Z</dcterms:created>
  <dcterms:modified xsi:type="dcterms:W3CDTF">2015-08-22T14:36:56Z</dcterms:modified>
</cp:coreProperties>
</file>