
<file path=[Content_Types].xml><?xml version="1.0" encoding="utf-8"?>
<Types xmlns="http://schemas.openxmlformats.org/package/2006/content-type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hidePivotFieldList="1" autoCompressPictures="0"/>
  <bookViews>
    <workbookView xWindow="0" yWindow="60" windowWidth="16608" windowHeight="9432" tabRatio="917" activeTab="1"/>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_xlnm.Print_Titles" localSheetId="10">'SUMMARY (Stage)'!$A:$A,'SUMMARY (Stage)'!$4:$5</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 name="_xlnm.Print_Area" localSheetId="9">'SUMMARY (Score)'!$A$1:$J$127</definedName>
  </definedNames>
  <calcPr calcId="125725" concurrentCalc="0"/>
  <pivotCaches>
    <pivotCache cacheId="0" r:id="rId15"/>
  </pivotCaches>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7"/>
  <c r="A49" i="15"/>
  <c r="C47" a="1"/>
  <c r="C47"/>
  <c r="C48" a="1"/>
  <c r="C48"/>
  <c r="C49" a="1"/>
  <c r="C50" a="1"/>
  <c r="C51" a="1"/>
  <c r="C52" a="1"/>
  <c r="C53" a="1"/>
  <c r="C54" a="1"/>
  <c r="C55" a="1"/>
  <c r="C49"/>
  <c r="C50"/>
  <c r="C51"/>
  <c r="C52"/>
  <c r="C53"/>
  <c r="C54"/>
  <c r="C55"/>
  <c r="S49"/>
  <c r="U47" a="1"/>
  <c r="U47"/>
  <c r="U48" a="1"/>
  <c r="U48"/>
  <c r="U49" a="1"/>
  <c r="U50" a="1"/>
  <c r="U51" a="1"/>
  <c r="U52" a="1"/>
  <c r="U53" a="1"/>
  <c r="U54" a="1"/>
  <c r="U55" a="1"/>
  <c r="U49"/>
  <c r="U50"/>
  <c r="U51"/>
  <c r="U52"/>
  <c r="U53"/>
  <c r="U54"/>
  <c r="U55"/>
  <c r="G49"/>
  <c r="I47" a="1"/>
  <c r="I47"/>
  <c r="I48" a="1"/>
  <c r="I48"/>
  <c r="I49" a="1"/>
  <c r="I50" a="1"/>
  <c r="I51" a="1"/>
  <c r="I52" a="1"/>
  <c r="I53" a="1"/>
  <c r="I54" a="1"/>
  <c r="I55" a="1"/>
  <c r="I49"/>
  <c r="I50"/>
  <c r="I51"/>
  <c r="I52"/>
  <c r="I53"/>
  <c r="I54"/>
  <c r="I55"/>
  <c r="D49"/>
  <c r="F47" a="1"/>
  <c r="F47"/>
  <c r="F48" a="1"/>
  <c r="F48"/>
  <c r="F49" a="1"/>
  <c r="F50" a="1"/>
  <c r="F51" a="1"/>
  <c r="F52" a="1"/>
  <c r="F53" a="1"/>
  <c r="F54" a="1"/>
  <c r="F55" a="1"/>
  <c r="F49"/>
  <c r="F50"/>
  <c r="F51"/>
  <c r="F52"/>
  <c r="F53"/>
  <c r="F54"/>
  <c r="F55"/>
  <c r="J49"/>
  <c r="L47" a="1"/>
  <c r="L47"/>
  <c r="L48" a="1"/>
  <c r="L48"/>
  <c r="L49" a="1"/>
  <c r="L50" a="1"/>
  <c r="L51" a="1"/>
  <c r="L52" a="1"/>
  <c r="L53" a="1"/>
  <c r="L54" a="1"/>
  <c r="L55" a="1"/>
  <c r="L49"/>
  <c r="L50"/>
  <c r="L51"/>
  <c r="L52"/>
  <c r="L53"/>
  <c r="L54"/>
  <c r="L55"/>
  <c r="M49"/>
  <c r="O47" a="1"/>
  <c r="O47"/>
  <c r="O48" a="1"/>
  <c r="O48"/>
  <c r="O49" a="1"/>
  <c r="O50" a="1"/>
  <c r="O51" a="1"/>
  <c r="O52" a="1"/>
  <c r="O53" a="1"/>
  <c r="O54" a="1"/>
  <c r="O55" a="1"/>
  <c r="O49"/>
  <c r="O50"/>
  <c r="O51"/>
  <c r="O52"/>
  <c r="O53"/>
  <c r="O54"/>
  <c r="O55"/>
  <c r="P49"/>
  <c r="R47" a="1"/>
  <c r="R47"/>
  <c r="R48" a="1"/>
  <c r="R48"/>
  <c r="R49" a="1"/>
  <c r="R50" a="1"/>
  <c r="R51" a="1"/>
  <c r="R52" a="1"/>
  <c r="R53" a="1"/>
  <c r="R54" a="1"/>
  <c r="R55" a="1"/>
  <c r="R49"/>
  <c r="R50"/>
  <c r="R51"/>
  <c r="R52"/>
  <c r="R53"/>
  <c r="R54"/>
  <c r="R55"/>
  <c r="H17" i="7"/>
  <c r="I17"/>
  <c r="I7"/>
  <c r="G8" i="15"/>
  <c r="I6" a="1"/>
  <c r="I6"/>
  <c r="I7" a="1"/>
  <c r="I7"/>
  <c r="I8" a="1"/>
  <c r="I9" a="1"/>
  <c r="I10" a="1"/>
  <c r="I8"/>
  <c r="I9"/>
  <c r="I10"/>
  <c r="J8"/>
  <c r="L6" a="1"/>
  <c r="L6"/>
  <c r="L7" a="1"/>
  <c r="L7"/>
  <c r="L8" a="1"/>
  <c r="L9" a="1"/>
  <c r="L10" a="1"/>
  <c r="L8"/>
  <c r="L9"/>
  <c r="L10"/>
  <c r="M8"/>
  <c r="O6" a="1"/>
  <c r="O6"/>
  <c r="O7" a="1"/>
  <c r="O7"/>
  <c r="O8" a="1"/>
  <c r="O9" a="1"/>
  <c r="O10" a="1"/>
  <c r="O8"/>
  <c r="O9"/>
  <c r="O10"/>
  <c r="P8"/>
  <c r="R6" a="1"/>
  <c r="R6"/>
  <c r="R7" a="1"/>
  <c r="R7"/>
  <c r="R8" a="1"/>
  <c r="R9" a="1"/>
  <c r="R10" a="1"/>
  <c r="R8"/>
  <c r="R9"/>
  <c r="R10"/>
  <c r="S8"/>
  <c r="U6" a="1"/>
  <c r="U6"/>
  <c r="U7" a="1"/>
  <c r="U7"/>
  <c r="U8" a="1"/>
  <c r="U9" a="1"/>
  <c r="U10" a="1"/>
  <c r="U8"/>
  <c r="U9"/>
  <c r="U10"/>
  <c r="A8"/>
  <c r="C6" a="1"/>
  <c r="C6"/>
  <c r="C7" a="1"/>
  <c r="C7"/>
  <c r="C8" a="1"/>
  <c r="C9" a="1"/>
  <c r="C10" a="1"/>
  <c r="C8"/>
  <c r="C9"/>
  <c r="C10"/>
  <c r="D8"/>
  <c r="F6"/>
  <c r="F7"/>
  <c r="F8"/>
  <c r="F9"/>
  <c r="F10"/>
  <c r="H7" i="7"/>
  <c r="J7"/>
  <c r="J8"/>
  <c r="J13" i="15"/>
  <c r="L11" a="1"/>
  <c r="L11"/>
  <c r="L12" a="1"/>
  <c r="L12"/>
  <c r="L13" a="1"/>
  <c r="L14" a="1"/>
  <c r="L15" a="1"/>
  <c r="L16" a="1"/>
  <c r="L17" a="1"/>
  <c r="L18" a="1"/>
  <c r="L19" a="1"/>
  <c r="L13"/>
  <c r="L14"/>
  <c r="L15"/>
  <c r="L16"/>
  <c r="L17"/>
  <c r="L18"/>
  <c r="L19"/>
  <c r="M13"/>
  <c r="O11" a="1"/>
  <c r="O11"/>
  <c r="O12" a="1"/>
  <c r="O12"/>
  <c r="O13" a="1"/>
  <c r="O14" a="1"/>
  <c r="O15" a="1"/>
  <c r="O16" a="1"/>
  <c r="O17" a="1"/>
  <c r="O18" a="1"/>
  <c r="O19" a="1"/>
  <c r="O13"/>
  <c r="O14"/>
  <c r="O15"/>
  <c r="O16"/>
  <c r="O17"/>
  <c r="O18"/>
  <c r="O19"/>
  <c r="P13"/>
  <c r="R11" a="1"/>
  <c r="R11"/>
  <c r="R12" a="1"/>
  <c r="R12"/>
  <c r="R13" a="1"/>
  <c r="R14" a="1"/>
  <c r="R15" a="1"/>
  <c r="R16" a="1"/>
  <c r="R17" a="1"/>
  <c r="R18" a="1"/>
  <c r="R19" a="1"/>
  <c r="R13"/>
  <c r="R14"/>
  <c r="R15"/>
  <c r="R16"/>
  <c r="R17"/>
  <c r="R18"/>
  <c r="R19"/>
  <c r="S13"/>
  <c r="U11" a="1"/>
  <c r="U11"/>
  <c r="U12" a="1"/>
  <c r="U12"/>
  <c r="U13" a="1"/>
  <c r="U14" a="1"/>
  <c r="U15" a="1"/>
  <c r="U16" a="1"/>
  <c r="U17" a="1"/>
  <c r="U18" a="1"/>
  <c r="U19" a="1"/>
  <c r="U13"/>
  <c r="U14"/>
  <c r="U15"/>
  <c r="U16"/>
  <c r="U17"/>
  <c r="U18"/>
  <c r="U19"/>
  <c r="A13"/>
  <c r="C11" a="1"/>
  <c r="C11"/>
  <c r="C12" a="1"/>
  <c r="C12"/>
  <c r="C13" a="1"/>
  <c r="C14" a="1"/>
  <c r="C15" a="1"/>
  <c r="C16" a="1"/>
  <c r="C17" a="1"/>
  <c r="C18" a="1"/>
  <c r="C19" a="1"/>
  <c r="C13"/>
  <c r="C14"/>
  <c r="C15"/>
  <c r="C16"/>
  <c r="C17"/>
  <c r="C18"/>
  <c r="C19"/>
  <c r="D13"/>
  <c r="F11" a="1"/>
  <c r="F12" a="1"/>
  <c r="F13" a="1"/>
  <c r="F14" a="1"/>
  <c r="F15" a="1"/>
  <c r="F16" a="1"/>
  <c r="F17" a="1"/>
  <c r="F18" a="1"/>
  <c r="F19" a="1"/>
  <c r="F11"/>
  <c r="F12"/>
  <c r="F13"/>
  <c r="F14"/>
  <c r="F15"/>
  <c r="F16"/>
  <c r="F17"/>
  <c r="F18"/>
  <c r="F19"/>
  <c r="G13"/>
  <c r="I11" a="1"/>
  <c r="I12" a="1"/>
  <c r="I13" a="1"/>
  <c r="I14" a="1"/>
  <c r="I15" a="1"/>
  <c r="I16" a="1"/>
  <c r="I17" a="1"/>
  <c r="I18" a="1"/>
  <c r="I19" a="1"/>
  <c r="I11"/>
  <c r="I12"/>
  <c r="I13"/>
  <c r="I14"/>
  <c r="I15"/>
  <c r="I16"/>
  <c r="I17"/>
  <c r="I18"/>
  <c r="I19"/>
  <c r="H9" i="7"/>
  <c r="J9"/>
  <c r="J10"/>
  <c r="I11"/>
  <c r="M22" i="15"/>
  <c r="O20" a="1"/>
  <c r="O20"/>
  <c r="O21" a="1"/>
  <c r="O21"/>
  <c r="O22" a="1"/>
  <c r="O23" a="1"/>
  <c r="O24" a="1"/>
  <c r="O25" a="1"/>
  <c r="O26" a="1"/>
  <c r="O27" a="1"/>
  <c r="O28" a="1"/>
  <c r="O22"/>
  <c r="O23"/>
  <c r="O24"/>
  <c r="O25"/>
  <c r="O26"/>
  <c r="O27"/>
  <c r="O28"/>
  <c r="P22"/>
  <c r="R20" a="1"/>
  <c r="R20"/>
  <c r="R21" a="1"/>
  <c r="R21"/>
  <c r="R22" a="1"/>
  <c r="R23" a="1"/>
  <c r="R24" a="1"/>
  <c r="R25" a="1"/>
  <c r="R26" a="1"/>
  <c r="R27" a="1"/>
  <c r="R28" a="1"/>
  <c r="R22"/>
  <c r="R23"/>
  <c r="R24"/>
  <c r="R25"/>
  <c r="R26"/>
  <c r="R27"/>
  <c r="R28"/>
  <c r="S22"/>
  <c r="U20" a="1"/>
  <c r="U20"/>
  <c r="U21" a="1"/>
  <c r="U21"/>
  <c r="U22" a="1"/>
  <c r="U23" a="1"/>
  <c r="U24" a="1"/>
  <c r="U25" a="1"/>
  <c r="U26" a="1"/>
  <c r="U27" a="1"/>
  <c r="U28" a="1"/>
  <c r="U22"/>
  <c r="U23"/>
  <c r="U24"/>
  <c r="U25"/>
  <c r="U26"/>
  <c r="U27"/>
  <c r="U28"/>
  <c r="J22"/>
  <c r="L20" a="1"/>
  <c r="L20"/>
  <c r="L21" a="1"/>
  <c r="L21"/>
  <c r="L22" a="1"/>
  <c r="L23" a="1"/>
  <c r="L24" a="1"/>
  <c r="L25" a="1"/>
  <c r="L26" a="1"/>
  <c r="L27" a="1"/>
  <c r="L28" a="1"/>
  <c r="L22"/>
  <c r="L23"/>
  <c r="L24"/>
  <c r="L25"/>
  <c r="L26"/>
  <c r="L27"/>
  <c r="L28"/>
  <c r="A22"/>
  <c r="C20" a="1"/>
  <c r="C20"/>
  <c r="C21" a="1"/>
  <c r="C21"/>
  <c r="C22" a="1"/>
  <c r="C23" a="1"/>
  <c r="C24" a="1"/>
  <c r="C25" a="1"/>
  <c r="C26" a="1"/>
  <c r="C27" a="1"/>
  <c r="C28" a="1"/>
  <c r="C22"/>
  <c r="C23"/>
  <c r="C24"/>
  <c r="C25"/>
  <c r="C26"/>
  <c r="C27"/>
  <c r="C28"/>
  <c r="D22"/>
  <c r="F20" a="1"/>
  <c r="F21" a="1"/>
  <c r="F22" a="1"/>
  <c r="F23" a="1"/>
  <c r="F24" a="1"/>
  <c r="F25" a="1"/>
  <c r="F26" a="1"/>
  <c r="F27" a="1"/>
  <c r="F28" a="1"/>
  <c r="F20"/>
  <c r="F21"/>
  <c r="F22"/>
  <c r="F23"/>
  <c r="F24"/>
  <c r="F25"/>
  <c r="F26"/>
  <c r="F27"/>
  <c r="F28"/>
  <c r="G22"/>
  <c r="I20" a="1"/>
  <c r="I21" a="1"/>
  <c r="I22" a="1"/>
  <c r="I23" a="1"/>
  <c r="I24" a="1"/>
  <c r="I25" a="1"/>
  <c r="I26" a="1"/>
  <c r="I27" a="1"/>
  <c r="I28" a="1"/>
  <c r="I20"/>
  <c r="I21"/>
  <c r="I22"/>
  <c r="I23"/>
  <c r="I24"/>
  <c r="I25"/>
  <c r="I26"/>
  <c r="I27"/>
  <c r="I28"/>
  <c r="H11" i="7"/>
  <c r="J11"/>
  <c r="J12"/>
  <c r="I13"/>
  <c r="J31" i="15"/>
  <c r="L29" a="1"/>
  <c r="L29"/>
  <c r="L30" a="1"/>
  <c r="L30"/>
  <c r="L31" a="1"/>
  <c r="L32" a="1"/>
  <c r="L33" a="1"/>
  <c r="L34" a="1"/>
  <c r="L35" a="1"/>
  <c r="L36" a="1"/>
  <c r="L37" a="1"/>
  <c r="L31"/>
  <c r="L32"/>
  <c r="L33"/>
  <c r="L34"/>
  <c r="L35"/>
  <c r="L36"/>
  <c r="L37"/>
  <c r="M31"/>
  <c r="O29" a="1"/>
  <c r="O29"/>
  <c r="O30" a="1"/>
  <c r="O30"/>
  <c r="O31" a="1"/>
  <c r="O32" a="1"/>
  <c r="O33" a="1"/>
  <c r="O34" a="1"/>
  <c r="O35" a="1"/>
  <c r="O36" a="1"/>
  <c r="O37" a="1"/>
  <c r="O31"/>
  <c r="O32"/>
  <c r="O33"/>
  <c r="O34"/>
  <c r="O35"/>
  <c r="O36"/>
  <c r="O37"/>
  <c r="P31"/>
  <c r="R29" a="1"/>
  <c r="R29"/>
  <c r="R30" a="1"/>
  <c r="R30"/>
  <c r="R31" a="1"/>
  <c r="R32" a="1"/>
  <c r="R33" a="1"/>
  <c r="R34" a="1"/>
  <c r="R35" a="1"/>
  <c r="R36" a="1"/>
  <c r="R37" a="1"/>
  <c r="R31"/>
  <c r="R32"/>
  <c r="R33"/>
  <c r="R34"/>
  <c r="R35"/>
  <c r="R36"/>
  <c r="R37"/>
  <c r="S31"/>
  <c r="U29" a="1"/>
  <c r="U29"/>
  <c r="U30" a="1"/>
  <c r="U30"/>
  <c r="U31" a="1"/>
  <c r="U32" a="1"/>
  <c r="U33" a="1"/>
  <c r="U34" a="1"/>
  <c r="U35" a="1"/>
  <c r="U36" a="1"/>
  <c r="U37" a="1"/>
  <c r="U31"/>
  <c r="U32"/>
  <c r="U33"/>
  <c r="U34"/>
  <c r="U35"/>
  <c r="U36"/>
  <c r="U37"/>
  <c r="A31"/>
  <c r="C29" a="1"/>
  <c r="C29"/>
  <c r="C30" a="1"/>
  <c r="C30"/>
  <c r="C31" a="1"/>
  <c r="C32" a="1"/>
  <c r="C33" a="1"/>
  <c r="C34" a="1"/>
  <c r="C35" a="1"/>
  <c r="C36" a="1"/>
  <c r="C37" a="1"/>
  <c r="C31"/>
  <c r="C32"/>
  <c r="C33"/>
  <c r="C34"/>
  <c r="C35"/>
  <c r="C36"/>
  <c r="C37"/>
  <c r="D31"/>
  <c r="F29" a="1"/>
  <c r="F30" a="1"/>
  <c r="F31" a="1"/>
  <c r="F32" a="1"/>
  <c r="F33" a="1"/>
  <c r="F34" a="1"/>
  <c r="F35" a="1"/>
  <c r="F36" a="1"/>
  <c r="F37" a="1"/>
  <c r="F29"/>
  <c r="F30"/>
  <c r="F31"/>
  <c r="F32"/>
  <c r="F33"/>
  <c r="F34"/>
  <c r="F35"/>
  <c r="F36"/>
  <c r="F37"/>
  <c r="G31"/>
  <c r="I29" a="1"/>
  <c r="I30" a="1"/>
  <c r="I31" a="1"/>
  <c r="I32" a="1"/>
  <c r="I33" a="1"/>
  <c r="I34" a="1"/>
  <c r="I35" a="1"/>
  <c r="I36" a="1"/>
  <c r="I37" a="1"/>
  <c r="I29"/>
  <c r="I30"/>
  <c r="I31"/>
  <c r="I32"/>
  <c r="I33"/>
  <c r="I34"/>
  <c r="I35"/>
  <c r="I36"/>
  <c r="I37"/>
  <c r="H13" i="7"/>
  <c r="J13"/>
  <c r="I15"/>
  <c r="G40" i="15"/>
  <c r="I38" a="1"/>
  <c r="I38"/>
  <c r="I39" a="1"/>
  <c r="I39"/>
  <c r="I40" a="1"/>
  <c r="I41" a="1"/>
  <c r="I42" a="1"/>
  <c r="I43" a="1"/>
  <c r="I44" a="1"/>
  <c r="I45" a="1"/>
  <c r="I46" a="1"/>
  <c r="I40"/>
  <c r="I41"/>
  <c r="I42"/>
  <c r="I43"/>
  <c r="I44"/>
  <c r="I45"/>
  <c r="I46"/>
  <c r="J40"/>
  <c r="L38" a="1"/>
  <c r="L38"/>
  <c r="L39" a="1"/>
  <c r="L39"/>
  <c r="L40" a="1"/>
  <c r="L41" a="1"/>
  <c r="L42" a="1"/>
  <c r="L43" a="1"/>
  <c r="L44" a="1"/>
  <c r="L45" a="1"/>
  <c r="L46" a="1"/>
  <c r="L40"/>
  <c r="L41"/>
  <c r="L42"/>
  <c r="L43"/>
  <c r="L44"/>
  <c r="L45"/>
  <c r="L46"/>
  <c r="M40"/>
  <c r="O38" a="1"/>
  <c r="O38"/>
  <c r="O39" a="1"/>
  <c r="O39"/>
  <c r="O40" a="1"/>
  <c r="O41" a="1"/>
  <c r="O42" a="1"/>
  <c r="O43" a="1"/>
  <c r="O44" a="1"/>
  <c r="O45" a="1"/>
  <c r="O46" a="1"/>
  <c r="O40"/>
  <c r="O41"/>
  <c r="O42"/>
  <c r="O43"/>
  <c r="O44"/>
  <c r="O45"/>
  <c r="O46"/>
  <c r="P40"/>
  <c r="R38" a="1"/>
  <c r="R38"/>
  <c r="R39" a="1"/>
  <c r="R39"/>
  <c r="R40" a="1"/>
  <c r="R41" a="1"/>
  <c r="R42" a="1"/>
  <c r="R43" a="1"/>
  <c r="R44" a="1"/>
  <c r="R45" a="1"/>
  <c r="R46" a="1"/>
  <c r="R40"/>
  <c r="R41"/>
  <c r="R42"/>
  <c r="R43"/>
  <c r="R44"/>
  <c r="R45"/>
  <c r="R46"/>
  <c r="S40"/>
  <c r="U38" a="1"/>
  <c r="U38"/>
  <c r="U39" a="1"/>
  <c r="U39"/>
  <c r="U40" a="1"/>
  <c r="U41" a="1"/>
  <c r="U42" a="1"/>
  <c r="U43" a="1"/>
  <c r="U44" a="1"/>
  <c r="U45" a="1"/>
  <c r="U46" a="1"/>
  <c r="U40"/>
  <c r="U41"/>
  <c r="U42"/>
  <c r="U43"/>
  <c r="U44"/>
  <c r="U45"/>
  <c r="U46"/>
  <c r="A40"/>
  <c r="C38" a="1"/>
  <c r="C38"/>
  <c r="C39" a="1"/>
  <c r="C39"/>
  <c r="C40" a="1"/>
  <c r="C41" a="1"/>
  <c r="C42" a="1"/>
  <c r="C43" a="1"/>
  <c r="C44" a="1"/>
  <c r="C45" a="1"/>
  <c r="C46" a="1"/>
  <c r="C40"/>
  <c r="C41"/>
  <c r="C42"/>
  <c r="C43"/>
  <c r="C44"/>
  <c r="C45"/>
  <c r="C46"/>
  <c r="D40"/>
  <c r="F38" a="1"/>
  <c r="F39" a="1"/>
  <c r="F40" a="1"/>
  <c r="F41" a="1"/>
  <c r="F42" a="1"/>
  <c r="F43" a="1"/>
  <c r="F44" a="1"/>
  <c r="F45" a="1"/>
  <c r="F46" a="1"/>
  <c r="F38"/>
  <c r="F39"/>
  <c r="F40"/>
  <c r="F41"/>
  <c r="F42"/>
  <c r="F43"/>
  <c r="F44"/>
  <c r="F45"/>
  <c r="F46"/>
  <c r="H15" i="7"/>
  <c r="J15"/>
  <c r="J17"/>
  <c r="A3"/>
  <c r="J14"/>
  <c r="J16"/>
  <c r="A1"/>
  <c r="A7" i="15"/>
  <c r="B6" a="1"/>
  <c r="B6"/>
  <c r="F1"/>
  <c r="E1"/>
  <c r="S48"/>
  <c r="S39"/>
  <c r="S30"/>
  <c r="S21"/>
  <c r="S12"/>
  <c r="S7"/>
  <c r="P48"/>
  <c r="Q48" a="1"/>
  <c r="Q48"/>
  <c r="P39"/>
  <c r="Q38" a="1"/>
  <c r="Q38"/>
  <c r="P30"/>
  <c r="Q32" a="1"/>
  <c r="Q32"/>
  <c r="P21"/>
  <c r="P12"/>
  <c r="Q12" a="1"/>
  <c r="Q12"/>
  <c r="P7"/>
  <c r="Q9" a="1"/>
  <c r="Q9"/>
  <c r="M48"/>
  <c r="N55" a="1"/>
  <c r="N55"/>
  <c r="M39"/>
  <c r="N44" a="1"/>
  <c r="N44"/>
  <c r="M30"/>
  <c r="N30" a="1"/>
  <c r="N30"/>
  <c r="M21"/>
  <c r="N20" a="1"/>
  <c r="N20"/>
  <c r="M12"/>
  <c r="N12" a="1"/>
  <c r="N12"/>
  <c r="M7"/>
  <c r="N10" a="1"/>
  <c r="N10"/>
  <c r="J48"/>
  <c r="K52" a="1"/>
  <c r="K52"/>
  <c r="J39"/>
  <c r="K45" a="1"/>
  <c r="K45"/>
  <c r="J30"/>
  <c r="K31" a="1"/>
  <c r="K31"/>
  <c r="J21"/>
  <c r="K20" a="1"/>
  <c r="K20"/>
  <c r="J12"/>
  <c r="J7"/>
  <c r="K6" a="1"/>
  <c r="K6"/>
  <c r="G48"/>
  <c r="H55" a="1"/>
  <c r="H55"/>
  <c r="G39"/>
  <c r="H39" a="1"/>
  <c r="H39"/>
  <c r="G30"/>
  <c r="H35" a="1"/>
  <c r="H35"/>
  <c r="G21"/>
  <c r="H25" a="1"/>
  <c r="H25"/>
  <c r="G12"/>
  <c r="H14" a="1"/>
  <c r="H14"/>
  <c r="G7"/>
  <c r="H8" a="1"/>
  <c r="H8"/>
  <c r="D48"/>
  <c r="E53" a="1"/>
  <c r="E53"/>
  <c r="D39"/>
  <c r="E45" a="1"/>
  <c r="E45"/>
  <c r="D30"/>
  <c r="E30" a="1"/>
  <c r="E30"/>
  <c r="D21"/>
  <c r="E21" a="1"/>
  <c r="E21"/>
  <c r="D12"/>
  <c r="E14" a="1"/>
  <c r="E14"/>
  <c r="D7"/>
  <c r="E6"/>
  <c r="A48"/>
  <c r="B55" a="1"/>
  <c r="B55"/>
  <c r="A39"/>
  <c r="B44" a="1"/>
  <c r="B44"/>
  <c r="A30"/>
  <c r="B29" a="1"/>
  <c r="B29"/>
  <c r="A21"/>
  <c r="B22" a="1"/>
  <c r="B22"/>
  <c r="A12"/>
  <c r="B18" a="1"/>
  <c r="B18"/>
  <c r="C19" i="7"/>
  <c r="B19"/>
  <c r="C17"/>
  <c r="B17"/>
  <c r="C15"/>
  <c r="B15"/>
  <c r="C13"/>
  <c r="B13"/>
  <c r="C11"/>
  <c r="B11"/>
  <c r="C9"/>
  <c r="B9"/>
  <c r="C7"/>
  <c r="B7"/>
  <c r="Q49" i="15" a="1"/>
  <c r="Q49"/>
  <c r="T12" a="1"/>
  <c r="T12"/>
  <c r="T16" a="1"/>
  <c r="T16"/>
  <c r="T15" a="1"/>
  <c r="T15"/>
  <c r="T19" a="1"/>
  <c r="T19"/>
  <c r="T11" a="1"/>
  <c r="T11"/>
  <c r="T14" a="1"/>
  <c r="T14"/>
  <c r="T18" a="1"/>
  <c r="T18"/>
  <c r="T13" a="1"/>
  <c r="T13"/>
  <c r="T17" a="1"/>
  <c r="T17"/>
  <c r="T48" a="1"/>
  <c r="T48"/>
  <c r="T52" a="1"/>
  <c r="T52"/>
  <c r="T51" a="1"/>
  <c r="T51"/>
  <c r="T55" a="1"/>
  <c r="T55"/>
  <c r="T47" a="1"/>
  <c r="T47"/>
  <c r="T50" a="1"/>
  <c r="T50"/>
  <c r="T54" a="1"/>
  <c r="T54"/>
  <c r="T49" a="1"/>
  <c r="T49"/>
  <c r="T53" a="1"/>
  <c r="T53"/>
  <c r="T23" a="1"/>
  <c r="T23"/>
  <c r="T27" a="1"/>
  <c r="T27"/>
  <c r="T22" a="1"/>
  <c r="T22"/>
  <c r="T26" a="1"/>
  <c r="T26"/>
  <c r="T21" a="1"/>
  <c r="T21"/>
  <c r="T25" a="1"/>
  <c r="T25"/>
  <c r="T24" a="1"/>
  <c r="T24"/>
  <c r="T28" a="1"/>
  <c r="T28"/>
  <c r="T20" a="1"/>
  <c r="T20"/>
  <c r="T41" a="1"/>
  <c r="T41"/>
  <c r="T45" a="1"/>
  <c r="T45"/>
  <c r="T40" a="1"/>
  <c r="T40"/>
  <c r="T44" a="1"/>
  <c r="T44"/>
  <c r="T39" a="1"/>
  <c r="T39"/>
  <c r="T43" a="1"/>
  <c r="T43"/>
  <c r="T42" a="1"/>
  <c r="T42"/>
  <c r="T46" a="1"/>
  <c r="T46"/>
  <c r="T38" a="1"/>
  <c r="T38"/>
  <c r="T30" a="1"/>
  <c r="T30"/>
  <c r="T34" a="1"/>
  <c r="T34"/>
  <c r="T33" a="1"/>
  <c r="T33"/>
  <c r="T37" a="1"/>
  <c r="T37"/>
  <c r="T29" a="1"/>
  <c r="T29"/>
  <c r="T32" a="1"/>
  <c r="T32"/>
  <c r="T36" a="1"/>
  <c r="T36"/>
  <c r="T31" a="1"/>
  <c r="T31"/>
  <c r="T35" a="1"/>
  <c r="T35"/>
  <c r="T6" a="1"/>
  <c r="T6"/>
  <c r="T7" a="1"/>
  <c r="T7"/>
  <c r="T10" a="1"/>
  <c r="T10"/>
  <c r="T8" a="1"/>
  <c r="T8"/>
  <c r="T9" a="1"/>
  <c r="T9"/>
  <c r="Q24" a="1"/>
  <c r="Q24"/>
  <c r="Q27" a="1"/>
  <c r="Q27"/>
  <c r="Q22" a="1"/>
  <c r="Q22"/>
  <c r="Q25" a="1"/>
  <c r="Q25"/>
  <c r="Q21" a="1"/>
  <c r="Q21"/>
  <c r="Q23" a="1"/>
  <c r="Q23"/>
  <c r="Q20" a="1"/>
  <c r="Q20"/>
  <c r="Q28" a="1"/>
  <c r="Q28"/>
  <c r="Q26" a="1"/>
  <c r="Q26"/>
  <c r="Q42" a="1"/>
  <c r="Q42"/>
  <c r="Q45" a="1"/>
  <c r="Q45"/>
  <c r="Q41" a="1"/>
  <c r="Q41"/>
  <c r="N22" a="1"/>
  <c r="N22"/>
  <c r="N37" a="1"/>
  <c r="N37"/>
  <c r="N28" a="1"/>
  <c r="N28"/>
  <c r="N48" a="1"/>
  <c r="N48"/>
  <c r="B41" a="1"/>
  <c r="B41"/>
  <c r="N13" a="1"/>
  <c r="N13"/>
  <c r="B21" a="1"/>
  <c r="B21"/>
  <c r="B7" a="1"/>
  <c r="B7"/>
  <c r="N23" a="1"/>
  <c r="N23"/>
  <c r="N7" a="1"/>
  <c r="N7"/>
  <c r="N39" a="1"/>
  <c r="N39"/>
  <c r="N24" a="1"/>
  <c r="N24"/>
  <c r="N46" a="1"/>
  <c r="N46"/>
  <c r="N43" a="1"/>
  <c r="N43"/>
  <c r="Q53" a="1"/>
  <c r="Q53"/>
  <c r="B11" a="1"/>
  <c r="B11"/>
  <c r="B47" a="1"/>
  <c r="B47"/>
  <c r="B32" a="1"/>
  <c r="B32"/>
  <c r="B54" a="1"/>
  <c r="B54"/>
  <c r="B13" a="1"/>
  <c r="B13"/>
  <c r="B9" a="1"/>
  <c r="B9"/>
  <c r="B53" a="1"/>
  <c r="B53"/>
  <c r="B49" a="1"/>
  <c r="B49"/>
  <c r="B8" a="1"/>
  <c r="B8"/>
  <c r="B10" a="1"/>
  <c r="B10"/>
  <c r="B50" a="1"/>
  <c r="B50"/>
  <c r="B34" a="1"/>
  <c r="B34"/>
  <c r="H10" a="1"/>
  <c r="H10"/>
  <c r="H34" a="1"/>
  <c r="H34"/>
  <c r="H36" a="1"/>
  <c r="H36"/>
  <c r="H29" a="1"/>
  <c r="H29"/>
  <c r="H9" a="1"/>
  <c r="H9"/>
  <c r="K38" a="1"/>
  <c r="K38"/>
  <c r="K33" a="1"/>
  <c r="K33"/>
  <c r="N26" a="1"/>
  <c r="N26"/>
  <c r="N21" a="1"/>
  <c r="N21"/>
  <c r="N40" a="1"/>
  <c r="N40"/>
  <c r="N49" a="1"/>
  <c r="N49"/>
  <c r="N27" a="1"/>
  <c r="N27"/>
  <c r="N45" a="1"/>
  <c r="N45"/>
  <c r="N6" a="1"/>
  <c r="N6"/>
  <c r="N34" a="1"/>
  <c r="N34"/>
  <c r="N8" a="1"/>
  <c r="N8"/>
  <c r="Q19" a="1"/>
  <c r="Q19"/>
  <c r="Q50" a="1"/>
  <c r="Q50"/>
  <c r="Q51" a="1"/>
  <c r="Q51"/>
  <c r="Q55" a="1"/>
  <c r="Q55"/>
  <c r="Q14" a="1"/>
  <c r="Q14"/>
  <c r="Q36" a="1"/>
  <c r="Q36"/>
  <c r="Q31" a="1"/>
  <c r="Q31"/>
  <c r="Q18" a="1"/>
  <c r="Q18"/>
  <c r="Q54" a="1"/>
  <c r="Q54"/>
  <c r="Q30" a="1"/>
  <c r="Q30"/>
  <c r="Q47" a="1"/>
  <c r="Q47"/>
  <c r="Q52" a="1"/>
  <c r="Q52"/>
  <c r="Q37" a="1"/>
  <c r="Q37"/>
  <c r="Q34" a="1"/>
  <c r="Q34"/>
  <c r="Q17" a="1"/>
  <c r="Q17"/>
  <c r="Q29" a="1"/>
  <c r="Q29"/>
  <c r="Q35" a="1"/>
  <c r="Q35"/>
  <c r="Q33" a="1"/>
  <c r="Q33"/>
  <c r="Q46" a="1"/>
  <c r="Q46"/>
  <c r="Q40" a="1"/>
  <c r="Q40"/>
  <c r="Q15" a="1"/>
  <c r="Q15"/>
  <c r="Q39" a="1"/>
  <c r="Q39"/>
  <c r="Q43" a="1"/>
  <c r="Q43"/>
  <c r="Q13" a="1"/>
  <c r="Q13"/>
  <c r="Q44" a="1"/>
  <c r="Q44"/>
  <c r="N47" a="1"/>
  <c r="N47"/>
  <c r="N54" a="1"/>
  <c r="N54"/>
  <c r="N38" a="1"/>
  <c r="N38"/>
  <c r="N18" a="1"/>
  <c r="N18"/>
  <c r="N41" a="1"/>
  <c r="N41"/>
  <c r="N29" a="1"/>
  <c r="N29"/>
  <c r="N53" a="1"/>
  <c r="N53"/>
  <c r="N36" a="1"/>
  <c r="N36"/>
  <c r="N9" a="1"/>
  <c r="N9"/>
  <c r="N33" a="1"/>
  <c r="N33"/>
  <c r="N50" a="1"/>
  <c r="N50"/>
  <c r="N32" a="1"/>
  <c r="N32"/>
  <c r="N19" a="1"/>
  <c r="N19"/>
  <c r="N14" a="1"/>
  <c r="N14"/>
  <c r="N52" a="1"/>
  <c r="N52"/>
  <c r="N16" a="1"/>
  <c r="N16"/>
  <c r="N51" a="1"/>
  <c r="N51"/>
  <c r="N35" a="1"/>
  <c r="N35"/>
  <c r="N25" a="1"/>
  <c r="N25"/>
  <c r="N42" a="1"/>
  <c r="N42"/>
  <c r="N31" a="1"/>
  <c r="N31"/>
  <c r="N11" a="1"/>
  <c r="N11"/>
  <c r="N15" a="1"/>
  <c r="N15"/>
  <c r="N17" a="1"/>
  <c r="N17"/>
  <c r="H20" a="1"/>
  <c r="H20"/>
  <c r="H42" a="1"/>
  <c r="H42"/>
  <c r="K36" a="1"/>
  <c r="K36"/>
  <c r="K37" a="1"/>
  <c r="K37"/>
  <c r="E18" a="1"/>
  <c r="E18"/>
  <c r="E47" a="1"/>
  <c r="E47"/>
  <c r="E54" a="1"/>
  <c r="E54"/>
  <c r="E34" a="1"/>
  <c r="E34"/>
  <c r="E51" a="1"/>
  <c r="E51"/>
  <c r="E31" a="1"/>
  <c r="E31"/>
  <c r="E33" a="1"/>
  <c r="E33"/>
  <c r="E36" a="1"/>
  <c r="E36"/>
  <c r="Q6" a="1"/>
  <c r="Q6"/>
  <c r="Q7" a="1"/>
  <c r="Q7"/>
  <c r="Q10" a="1"/>
  <c r="Q10"/>
  <c r="Q16" a="1"/>
  <c r="Q16"/>
  <c r="Q11" a="1"/>
  <c r="Q11"/>
  <c r="Q8" a="1"/>
  <c r="Q8"/>
  <c r="K54" a="1"/>
  <c r="K54"/>
  <c r="K43" a="1"/>
  <c r="K43"/>
  <c r="K39" a="1"/>
  <c r="K39"/>
  <c r="K47" a="1"/>
  <c r="K47"/>
  <c r="K51" a="1"/>
  <c r="K51"/>
  <c r="K41" a="1"/>
  <c r="K41"/>
  <c r="K49" a="1"/>
  <c r="K49"/>
  <c r="K42" a="1"/>
  <c r="K42"/>
  <c r="K55" a="1"/>
  <c r="K55"/>
  <c r="K53" a="1"/>
  <c r="K53"/>
  <c r="K8" a="1"/>
  <c r="K8"/>
  <c r="K23" a="1"/>
  <c r="K23"/>
  <c r="K26" a="1"/>
  <c r="K26"/>
  <c r="K28" a="1"/>
  <c r="K28"/>
  <c r="K21" a="1"/>
  <c r="K21"/>
  <c r="K29" a="1"/>
  <c r="K29"/>
  <c r="K48" a="1"/>
  <c r="K48"/>
  <c r="K30" a="1"/>
  <c r="K30"/>
  <c r="K50" a="1"/>
  <c r="K50"/>
  <c r="K46" a="1"/>
  <c r="K46"/>
  <c r="K40" a="1"/>
  <c r="K40"/>
  <c r="K44" a="1"/>
  <c r="K44"/>
  <c r="K27" a="1"/>
  <c r="K27"/>
  <c r="K22" a="1"/>
  <c r="K22"/>
  <c r="K24" a="1"/>
  <c r="K24"/>
  <c r="K25" a="1"/>
  <c r="K25"/>
  <c r="K9" a="1"/>
  <c r="K9"/>
  <c r="K10" a="1"/>
  <c r="K10"/>
  <c r="E13" a="1"/>
  <c r="E13"/>
  <c r="E25" a="1"/>
  <c r="E25"/>
  <c r="E12" a="1"/>
  <c r="E12"/>
  <c r="E43" a="1"/>
  <c r="E43"/>
  <c r="E27" a="1"/>
  <c r="E27"/>
  <c r="E19" a="1"/>
  <c r="E19"/>
  <c r="E11" a="1"/>
  <c r="E11"/>
  <c r="E28" a="1"/>
  <c r="E28"/>
  <c r="E17" a="1"/>
  <c r="E17"/>
  <c r="E15" a="1"/>
  <c r="E15"/>
  <c r="E40" a="1"/>
  <c r="E40"/>
  <c r="E16" a="1"/>
  <c r="E16"/>
  <c r="E23" a="1"/>
  <c r="E23"/>
  <c r="E48" a="1"/>
  <c r="E48"/>
  <c r="E49" a="1"/>
  <c r="E49"/>
  <c r="E55" a="1"/>
  <c r="E55"/>
  <c r="E7"/>
  <c r="E20" a="1"/>
  <c r="E20"/>
  <c r="E52" a="1"/>
  <c r="E52"/>
  <c r="E50" a="1"/>
  <c r="E50"/>
  <c r="E24" a="1"/>
  <c r="E24"/>
  <c r="E22" a="1"/>
  <c r="E22"/>
  <c r="E26" a="1"/>
  <c r="E26"/>
  <c r="E9"/>
  <c r="E29" a="1"/>
  <c r="E29"/>
  <c r="E37" a="1"/>
  <c r="E37"/>
  <c r="E8"/>
  <c r="E44" a="1"/>
  <c r="E44"/>
  <c r="E39" a="1"/>
  <c r="E39"/>
  <c r="E46" a="1"/>
  <c r="E46"/>
  <c r="E38" a="1"/>
  <c r="E38"/>
  <c r="E41" a="1"/>
  <c r="E41"/>
  <c r="E32" a="1"/>
  <c r="E32"/>
  <c r="E10"/>
  <c r="E42" a="1"/>
  <c r="E42"/>
  <c r="E35" a="1"/>
  <c r="E35"/>
  <c r="B19" a="1"/>
  <c r="B19"/>
  <c r="B45" a="1"/>
  <c r="B45"/>
  <c r="B51" a="1"/>
  <c r="B51"/>
  <c r="B15" a="1"/>
  <c r="B15"/>
  <c r="B43" a="1"/>
  <c r="B43"/>
  <c r="B52" a="1"/>
  <c r="B52"/>
  <c r="B23" a="1"/>
  <c r="B23"/>
  <c r="B12" a="1"/>
  <c r="B12"/>
  <c r="B40" a="1"/>
  <c r="B40"/>
  <c r="B46" a="1"/>
  <c r="B46"/>
  <c r="B16" a="1"/>
  <c r="B16"/>
  <c r="B48" a="1"/>
  <c r="B48"/>
  <c r="B24" a="1"/>
  <c r="B24"/>
  <c r="K14" a="1"/>
  <c r="K14"/>
  <c r="K11" a="1"/>
  <c r="K11"/>
  <c r="K16" a="1"/>
  <c r="K16"/>
  <c r="K18" a="1"/>
  <c r="K18"/>
  <c r="K17" a="1"/>
  <c r="K17"/>
  <c r="K19" a="1"/>
  <c r="K19"/>
  <c r="K15" a="1"/>
  <c r="K15"/>
  <c r="K12" a="1"/>
  <c r="K12"/>
  <c r="K13" a="1"/>
  <c r="K13"/>
  <c r="K34" a="1"/>
  <c r="K34"/>
  <c r="K35" a="1"/>
  <c r="K35"/>
  <c r="K32" a="1"/>
  <c r="K32"/>
  <c r="K7" a="1"/>
  <c r="K7"/>
  <c r="B42" a="1"/>
  <c r="B42"/>
  <c r="B27" a="1"/>
  <c r="B27"/>
  <c r="B14" a="1"/>
  <c r="B14"/>
  <c r="B33" a="1"/>
  <c r="B33"/>
  <c r="B38" a="1"/>
  <c r="B38"/>
  <c r="B17" a="1"/>
  <c r="B17"/>
  <c r="B28" a="1"/>
  <c r="B28"/>
  <c r="B25" a="1"/>
  <c r="B25"/>
  <c r="B31" a="1"/>
  <c r="B31"/>
  <c r="B35" a="1"/>
  <c r="B35"/>
  <c r="B26" a="1"/>
  <c r="B26"/>
  <c r="B30" a="1"/>
  <c r="B30"/>
  <c r="B20" a="1"/>
  <c r="B20"/>
  <c r="B39" a="1"/>
  <c r="B39"/>
  <c r="B37" a="1"/>
  <c r="B37"/>
  <c r="B36" a="1"/>
  <c r="B36"/>
  <c r="H45" a="1"/>
  <c r="H45"/>
  <c r="H38" a="1"/>
  <c r="H38"/>
  <c r="H40" a="1"/>
  <c r="H40"/>
  <c r="H32" a="1"/>
  <c r="H32"/>
  <c r="H17" a="1"/>
  <c r="H17"/>
  <c r="H30" a="1"/>
  <c r="H30"/>
  <c r="H37" a="1"/>
  <c r="H37"/>
  <c r="H51" a="1"/>
  <c r="H51"/>
  <c r="H53" a="1"/>
  <c r="H53"/>
  <c r="H33" a="1"/>
  <c r="H33"/>
  <c r="H31" a="1"/>
  <c r="H31"/>
  <c r="H54" a="1"/>
  <c r="H54"/>
  <c r="H52" a="1"/>
  <c r="H52"/>
  <c r="H13" a="1"/>
  <c r="H13"/>
  <c r="H15" a="1"/>
  <c r="H15"/>
  <c r="H18" a="1"/>
  <c r="H18"/>
  <c r="H23" a="1"/>
  <c r="H23"/>
  <c r="H41" a="1"/>
  <c r="H41"/>
  <c r="H12" a="1"/>
  <c r="H12"/>
  <c r="H11" a="1"/>
  <c r="H11"/>
  <c r="H22" a="1"/>
  <c r="H22"/>
  <c r="H21" a="1"/>
  <c r="H21"/>
  <c r="H19" a="1"/>
  <c r="H19"/>
  <c r="H16" a="1"/>
  <c r="H16"/>
  <c r="H44" a="1"/>
  <c r="H44"/>
  <c r="H6" a="1"/>
  <c r="H6"/>
  <c r="H7" a="1"/>
  <c r="H7"/>
  <c r="H28" a="1"/>
  <c r="H28"/>
  <c r="H27" a="1"/>
  <c r="H27"/>
  <c r="H26" a="1"/>
  <c r="H26"/>
  <c r="H24" a="1"/>
  <c r="H24"/>
  <c r="H50" a="1"/>
  <c r="H50"/>
  <c r="H43" a="1"/>
  <c r="H43"/>
  <c r="H46" a="1"/>
  <c r="H46"/>
  <c r="H48" a="1"/>
  <c r="H48"/>
  <c r="H47" a="1"/>
  <c r="H47"/>
  <c r="H49" a="1"/>
  <c r="H49"/>
  <c r="G7" i="7"/>
  <c r="G13"/>
  <c r="G11"/>
  <c r="G15"/>
  <c r="G9"/>
  <c r="G17"/>
</calcChain>
</file>

<file path=xl/sharedStrings.xml><?xml version="1.0" encoding="utf-8"?>
<sst xmlns="http://schemas.openxmlformats.org/spreadsheetml/2006/main" count="852" uniqueCount="584">
  <si>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</si>
  <si>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</si>
  <si>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</si>
  <si>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</si>
  <si>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</si>
  <si>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</si>
  <si>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</si>
  <si>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</si>
  <si>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</si>
  <si>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</si>
  <si>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</si>
  <si>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</si>
  <si>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</si>
  <si>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</si>
  <si>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</si>
  <si>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</si>
  <si>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</si>
  <si>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</si>
  <si>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</si>
  <si>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</si>
  <si>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</si>
  <si>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</si>
  <si>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</si>
  <si>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</si>
  <si>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</si>
  <si>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</si>
  <si>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</si>
  <si>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</si>
  <si>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</si>
  <si>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</si>
  <si>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</si>
  <si>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</si>
  <si>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</si>
  <si>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</si>
  <si>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</si>
  <si>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</si>
  <si>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</si>
  <si>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</si>
  <si>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</si>
  <si>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</si>
  <si>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</si>
  <si>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</si>
  <si>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</si>
  <si>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</si>
  <si>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</si>
  <si>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</si>
  <si>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</si>
  <si>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</si>
  <si>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</si>
  <si>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</si>
  <si>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</si>
  <si>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</si>
  <si>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</si>
  <si>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</si>
  <si>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</si>
  <si>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</si>
  <si>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</si>
  <si>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</si>
  <si>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</si>
  <si>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</si>
  <si>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</si>
  <si>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</si>
  <si>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</si>
  <si>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</si>
  <si>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</si>
  <si>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</si>
  <si>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</si>
  <si>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</si>
  <si>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</si>
  <si>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</si>
  <si>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</si>
  <si>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</si>
  <si>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</si>
  <si>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</si>
  <si>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</si>
  <si>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</si>
  <si>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</si>
  <si>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</si>
  <si>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</si>
  <si>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</si>
  <si>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</si>
  <si>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</si>
  <si>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</si>
  <si>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</si>
  <si>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</si>
  <si>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</si>
  <si>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</si>
  <si>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</si>
  <si>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</si>
  <si>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</si>
  <si>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</si>
  <si>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</si>
  <si>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</si>
  <si>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</si>
  <si>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</si>
  <si>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</si>
  <si>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</si>
  <si>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</si>
  <si>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</si>
  <si>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</si>
  <si>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</si>
  <si>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</si>
  <si>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</si>
  <si>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</si>
  <si>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</si>
  <si>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</si>
  <si>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</si>
  <si>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</si>
  <si>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</si>
  <si>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</si>
  <si>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</si>
  <si>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</si>
  <si>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</si>
  <si>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</si>
  <si>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</si>
  <si>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</si>
  <si>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</si>
  <si>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</si>
  <si>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</si>
  <si>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</si>
  <si>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</si>
  <si>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</si>
  <si>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</si>
  <si>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</si>
  <si>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</si>
  <si>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</si>
  <si>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</si>
  <si>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</si>
  <si>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</si>
  <si>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</si>
  <si>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</si>
  <si>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</si>
  <si>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</si>
  <si>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</si>
  <si>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</si>
  <si>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</si>
  <si>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</si>
  <si>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</si>
  <si>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</si>
  <si>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</si>
  <si>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</si>
  <si>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</si>
  <si>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</si>
  <si>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</si>
  <si>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</si>
  <si>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</si>
  <si>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</si>
  <si>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</si>
  <si>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</si>
  <si>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</si>
  <si>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</si>
  <si>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</si>
  <si>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</si>
  <si>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</si>
  <si>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</si>
  <si>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</si>
  <si>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</si>
  <si>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</si>
  <si>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</si>
  <si>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</si>
  <si>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</si>
  <si>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</si>
  <si>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</si>
  <si>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</si>
  <si>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</si>
  <si>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</si>
  <si>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</si>
  <si>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</si>
  <si>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</si>
  <si>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</si>
  <si>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</si>
  <si>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</si>
  <si>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</si>
  <si>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</si>
  <si>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</si>
  <si>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</si>
  <si>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</si>
  <si>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</si>
  <si>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</si>
  <si>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</si>
  <si>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</si>
  <si>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</si>
  <si>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</si>
  <si>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</si>
  <si>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</si>
  <si>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</si>
  <si>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</si>
  <si>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</si>
  <si>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</si>
  <si>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</si>
  <si>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</si>
  <si>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</si>
  <si>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</si>
  <si>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</si>
  <si>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</si>
  <si>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</si>
  <si>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</si>
  <si>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</si>
  <si>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</si>
  <si>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</si>
  <si>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</si>
  <si>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</si>
  <si>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</si>
  <si>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</si>
  <si>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</si>
  <si>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</si>
  <si>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</si>
  <si>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</si>
  <si>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</si>
  <si>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</si>
  <si>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</si>
  <si>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</si>
  <si>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</si>
  <si>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</si>
  <si>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</si>
  <si>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</si>
  <si>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</si>
  <si>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</si>
  <si>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</si>
  <si>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</si>
  <si>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</si>
  <si>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</si>
  <si>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</si>
  <si>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</si>
  <si>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</si>
  <si>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</si>
  <si>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</si>
  <si>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</si>
  <si>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</si>
  <si>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</si>
  <si>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</si>
  <si>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</si>
  <si>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</si>
  <si>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</si>
  <si>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</si>
  <si>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</si>
  <si>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</si>
  <si>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</si>
  <si>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</si>
  <si>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</si>
  <si>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</si>
  <si>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</si>
  <si>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</si>
  <si>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</si>
  <si>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</si>
  <si>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</si>
  <si>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</si>
  <si>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</si>
  <si>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</si>
  <si>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</si>
  <si>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</si>
  <si>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</si>
  <si>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</si>
  <si>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</si>
  <si>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</si>
  <si>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</si>
  <si>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</si>
  <si>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</si>
  <si>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</si>
  <si>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</si>
  <si>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</si>
  <si>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</si>
  <si>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</si>
  <si>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</si>
  <si>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</si>
  <si>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</si>
  <si>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</si>
  <si>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</si>
  <si>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</si>
  <si>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</si>
  <si>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</si>
  <si>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</si>
  <si>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</si>
  <si>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</si>
  <si>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</si>
  <si>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</si>
  <si>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</si>
  <si>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</si>
  <si>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</si>
  <si>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</si>
  <si>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</si>
  <si>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</si>
  <si>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</si>
  <si>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</si>
  <si>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</si>
  <si>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</si>
  <si>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</si>
  <si>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</si>
  <si>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</si>
  <si>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</si>
  <si>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</si>
  <si>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</si>
  <si>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</si>
  <si>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</si>
  <si>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</si>
  <si>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</si>
  <si>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</si>
  <si>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</si>
  <si>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</si>
  <si>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</si>
  <si>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</si>
  <si>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</si>
  <si>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</si>
  <si>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</si>
  <si>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</si>
  <si>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</si>
  <si>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</si>
  <si>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</si>
  <si>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</si>
  <si>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</si>
  <si>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</si>
  <si>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</si>
  <si>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</si>
  <si>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</si>
  <si>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</si>
  <si>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</si>
  <si>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</si>
  <si>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</si>
  <si>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</si>
  <si>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</si>
  <si>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</si>
  <si>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</si>
  <si>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</si>
  <si>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</si>
  <si>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</si>
  <si>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</si>
  <si>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</si>
  <si>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</si>
  <si>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</si>
  <si>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</si>
  <si>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</si>
  <si>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</si>
  <si>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</si>
  <si>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</si>
  <si>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</si>
  <si>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</si>
  <si>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</si>
  <si>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</si>
  <si>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</si>
  <si>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</si>
  <si>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</si>
  <si>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</si>
  <si>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</si>
  <si>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</si>
  <si>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</si>
  <si>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</si>
  <si>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</si>
  <si>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</si>
  <si>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</si>
  <si>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</si>
  <si>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</si>
  <si>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</si>
  <si>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</si>
  <si>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</si>
  <si>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</si>
  <si>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</si>
  <si>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</si>
  <si>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</si>
  <si>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</si>
  <si>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</si>
  <si>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</si>
  <si>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</si>
  <si>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</si>
  <si>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</si>
  <si>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</si>
  <si>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</si>
  <si>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</si>
  <si>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</si>
  <si>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</si>
  <si>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</si>
  <si>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</si>
  <si>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</si>
  <si>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</si>
  <si>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</si>
  <si>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</si>
  <si>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</si>
  <si>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</si>
  <si>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</si>
  <si>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</si>
  <si>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</si>
  <si>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</si>
  <si>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</si>
  <si>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</si>
  <si>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</si>
  <si>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</si>
  <si>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</si>
  <si>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</si>
  <si>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</si>
  <si>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</si>
  <si>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</si>
  <si>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</si>
  <si>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</si>
  <si>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</si>
  <si>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</si>
  <si>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</si>
  <si>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</si>
  <si>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</si>
  <si>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</si>
  <si>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</si>
  <si>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</si>
  <si>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</si>
  <si>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</si>
  <si>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</si>
  <si>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</si>
  <si>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</si>
  <si>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</si>
  <si>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</si>
  <si>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</si>
  <si>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</si>
  <si>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</si>
  <si>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</si>
  <si>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</si>
  <si>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</si>
  <si>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</si>
  <si>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</si>
  <si>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</si>
  <si>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</si>
  <si>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</si>
  <si>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</si>
  <si>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</si>
  <si>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</si>
  <si>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</si>
  <si>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</si>
  <si>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</si>
  <si>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</si>
  <si>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</si>
  <si>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</si>
  <si>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</si>
  <si>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</si>
  <si>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</si>
  <si>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</si>
  <si>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</si>
  <si>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</si>
  <si>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</si>
  <si>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</si>
  <si>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</si>
  <si>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</si>
  <si>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</si>
  <si>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</si>
  <si>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</si>
  <si>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</si>
  <si>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</si>
  <si>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</si>
  <si>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</si>
  <si>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</si>
  <si>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</si>
  <si>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</si>
  <si>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</si>
  <si>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</si>
  <si>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</si>
  <si>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</si>
  <si>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</si>
  <si>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</si>
  <si>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</si>
  <si>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</si>
  <si>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</si>
  <si>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</si>
  <si>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</si>
  <si>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</si>
  <si>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</si>
  <si>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</si>
  <si>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</si>
  <si>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</si>
  <si>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</si>
  <si>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</si>
  <si>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</si>
  <si>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</si>
  <si>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</si>
  <si>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</si>
  <si>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</si>
  <si>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</si>
  <si>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</si>
  <si>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</si>
  <si>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</si>
  <si>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</si>
  <si>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</si>
  <si>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</si>
  <si>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</si>
  <si>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</si>
  <si>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</si>
  <si>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</si>
  <si>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</si>
  <si>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</si>
  <si>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</si>
  <si>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</si>
  <si>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</si>
  <si>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</si>
  <si>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</si>
  <si>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</si>
  <si>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</si>
  <si>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</si>
  <si>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</si>
  <si>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</si>
  <si>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</si>
  <si>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</si>
  <si>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</si>
  <si>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</si>
  <si>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</si>
  <si>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</si>
  <si>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</si>
  <si>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</si>
  <si>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</si>
  <si>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</si>
  <si>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</si>
  <si>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</si>
  <si>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</si>
  <si>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</si>
  <si>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</si>
  <si>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</si>
  <si>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</si>
  <si>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</si>
  <si>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</si>
  <si>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</si>
  <si>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</si>
  <si>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</si>
  <si>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</si>
  <si>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</si>
  <si>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</si>
  <si>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</si>
  <si>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</si>
  <si>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</si>
  <si>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</si>
  <si>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</si>
  <si>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</si>
  <si>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</si>
  <si>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</si>
  <si>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</si>
  <si>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</si>
  <si>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</si>
  <si>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</si>
  <si>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</si>
  <si>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</si>
  <si>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</si>
  <si>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</si>
  <si>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</si>
  <si>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</si>
  <si>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</si>
  <si>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</si>
  <si>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</si>
  <si>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</si>
  <si>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</si>
  <si>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</si>
  <si>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</si>
  <si>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</si>
  <si>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</si>
  <si>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</si>
  <si>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</si>
  <si>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</si>
  <si>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</si>
  <si>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</si>
  <si>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</si>
  <si>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</si>
  <si>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</si>
  <si>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</si>
  <si>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</si>
  <si>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</si>
  <si>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</si>
  <si>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</si>
  <si>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</si>
  <si>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</si>
  <si>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</si>
  <si>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</si>
  <si>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</si>
  <si>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</si>
  <si>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</si>
  <si>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</si>
  <si>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</si>
  <si>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</si>
  <si>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</si>
  <si>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</si>
  <si>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</si>
  <si>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</si>
  <si>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</si>
  <si>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</si>
  <si>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</si>
  <si>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</si>
  <si>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</si>
  <si>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</si>
  <si>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</si>
  <si>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</si>
  <si>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Ministere de la santé publique</t>
  </si>
  <si>
    <t>Ministere de L'Elévage</t>
  </si>
  <si>
    <t>Dr Alkassoum Ibrahim(MD)</t>
  </si>
  <si>
    <t>Dr Morou Mounkaila (DVM)</t>
  </si>
</sst>
</file>

<file path=xl/styles.xml><?xml version="1.0" encoding="utf-8"?>
<styleSheet xmlns="http://schemas.openxmlformats.org/spreadsheetml/2006/main">
  <numFmts count="2">
    <numFmt numFmtId="164" formatCode="_(* #,##0.00_);_(* \(#,##0.00\);_(* &quot;-&quot;??_);_(@_)"/>
    <numFmt numFmtId="165" formatCode="[$-3409]dd\ mmmm\,\ yyyy;@"/>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164"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164"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164"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7" fillId="0" borderId="31" xfId="0" applyFont="1" applyBorder="1" applyAlignment="1">
      <alignment horizontal="left" vertical="top" wrapText="1"/>
    </xf>
    <xf numFmtId="0" fontId="0" fillId="0" borderId="2" xfId="0" applyFont="1" applyBorder="1" applyAlignment="1">
      <alignment vertical="center" wrapText="1"/>
    </xf>
    <xf numFmtId="0" fontId="0" fillId="0" borderId="7" xfId="0" applyFont="1" applyBorder="1" applyAlignment="1">
      <alignment vertical="center"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0" fontId="17" fillId="0" borderId="39" xfId="0" applyFont="1" applyBorder="1" applyAlignment="1">
      <alignment horizontal="left" vertical="top" wrapText="1"/>
    </xf>
    <xf numFmtId="165" fontId="18" fillId="7" borderId="18" xfId="0" applyNumberFormat="1" applyFont="1" applyFill="1" applyBorder="1" applyAlignment="1">
      <alignment horizontal="center" vertical="center"/>
    </xf>
    <xf numFmtId="165" fontId="18" fillId="7" borderId="19" xfId="0" applyNumberFormat="1" applyFont="1" applyFill="1" applyBorder="1" applyAlignment="1">
      <alignment horizontal="center" vertical="center"/>
    </xf>
    <xf numFmtId="165"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Lien hypertexte" xfId="2" builtinId="8" hidden="1"/>
    <cellStyle name="Lien hypertexte" xfId="4" builtinId="8" hidden="1"/>
    <cellStyle name="Lien hypertexte" xfId="6" builtinId="8" hidden="1"/>
    <cellStyle name="Lien hypertexte" xfId="8" builtinId="8" hidden="1"/>
    <cellStyle name="Lien hypertexte" xfId="10" builtinId="8" hidden="1"/>
    <cellStyle name="Lien hypertexte" xfId="12" builtinId="8" hidden="1"/>
    <cellStyle name="Lien hypertexte" xfId="14" builtinId="8" hidden="1"/>
    <cellStyle name="Lien hypertexte" xfId="16" builtinId="8" hidden="1"/>
    <cellStyle name="Lien hypertexte" xfId="18" builtinId="8" hidden="1"/>
    <cellStyle name="Lien hypertexte" xfId="20" builtinId="8" hidden="1"/>
    <cellStyle name="Lien hypertexte" xfId="22" builtinId="8" hidden="1"/>
    <cellStyle name="Lien hypertexte" xfId="24" builtinId="8" hidden="1"/>
    <cellStyle name="Lien hypertexte" xfId="26" builtinId="8" hidden="1"/>
    <cellStyle name="Lien hypertexte" xfId="28" builtinId="8" hidden="1"/>
    <cellStyle name="Lien hypertexte" xfId="30" builtinId="8" hidden="1"/>
    <cellStyle name="Lien hypertexte" xfId="32" builtinId="8" hidden="1"/>
    <cellStyle name="Lien hypertexte" xfId="34" builtinId="8" hidden="1"/>
    <cellStyle name="Lien hypertexte" xfId="36" builtinId="8" hidden="1"/>
    <cellStyle name="Lien hypertexte" xfId="38" builtinId="8" hidden="1"/>
    <cellStyle name="Lien hypertexte" xfId="40" builtinId="8" hidden="1"/>
    <cellStyle name="Lien hypertexte" xfId="42" builtinId="8" hidden="1"/>
    <cellStyle name="Lien hypertexte" xfId="44" builtinId="8" hidden="1"/>
    <cellStyle name="Lien hypertexte" xfId="46" builtinId="8" hidden="1"/>
    <cellStyle name="Lien hypertexte" xfId="48" builtinId="8" hidden="1"/>
    <cellStyle name="Lien hypertexte" xfId="50" builtinId="8" hidden="1"/>
    <cellStyle name="Lien hypertexte" xfId="52" builtinId="8" hidden="1"/>
    <cellStyle name="Lien hypertexte visité" xfId="3" builtinId="9" hidden="1"/>
    <cellStyle name="Lien hypertexte visité" xfId="5" builtinId="9" hidden="1"/>
    <cellStyle name="Lien hypertexte visité" xfId="7" builtinId="9" hidden="1"/>
    <cellStyle name="Lien hypertexte visité" xfId="9" builtinId="9" hidden="1"/>
    <cellStyle name="Lien hypertexte visité" xfId="11" builtinId="9" hidden="1"/>
    <cellStyle name="Lien hypertexte visité" xfId="13" builtinId="9" hidden="1"/>
    <cellStyle name="Lien hypertexte visité" xfId="15" builtinId="9" hidden="1"/>
    <cellStyle name="Lien hypertexte visité" xfId="17" builtinId="9" hidden="1"/>
    <cellStyle name="Lien hypertexte visité" xfId="19" builtinId="9" hidden="1"/>
    <cellStyle name="Lien hypertexte visité" xfId="21" builtinId="9" hidden="1"/>
    <cellStyle name="Lien hypertexte visité" xfId="23" builtinId="9" hidden="1"/>
    <cellStyle name="Lien hypertexte visité" xfId="25" builtinId="9" hidden="1"/>
    <cellStyle name="Lien hypertexte visité" xfId="27" builtinId="9" hidden="1"/>
    <cellStyle name="Lien hypertexte visité" xfId="29" builtinId="9" hidden="1"/>
    <cellStyle name="Lien hypertexte visité" xfId="31" builtinId="9" hidden="1"/>
    <cellStyle name="Lien hypertexte visité" xfId="33" builtinId="9" hidden="1"/>
    <cellStyle name="Lien hypertexte visité" xfId="35" builtinId="9" hidden="1"/>
    <cellStyle name="Lien hypertexte visité" xfId="37" builtinId="9" hidden="1"/>
    <cellStyle name="Lien hypertexte visité" xfId="39" builtinId="9" hidden="1"/>
    <cellStyle name="Lien hypertexte visité" xfId="41" builtinId="9" hidden="1"/>
    <cellStyle name="Lien hypertexte visité" xfId="43" builtinId="9" hidden="1"/>
    <cellStyle name="Lien hypertexte visité" xfId="45" builtinId="9" hidden="1"/>
    <cellStyle name="Lien hypertexte visité" xfId="47" builtinId="9" hidden="1"/>
    <cellStyle name="Lien hypertexte visité" xfId="49" builtinId="9" hidden="1"/>
    <cellStyle name="Lien hypertexte visité" xfId="51" builtinId="9" hidden="1"/>
    <cellStyle name="Lien hypertexte visité" xfId="53" builtinId="9" hidden="1"/>
    <cellStyle name="Milliers" xfId="1" builtinId="3"/>
    <cellStyle name="Normal" xfId="0" builtinId="0"/>
  </cellStyles>
  <dxfs count="2">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ari" refreshedDate="42544.671747222223" createdVersion="5" refreshedVersion="5" minRefreshableVersion="3" recordCount="103">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dimension ref="A1:A2"/>
  <sheetViews>
    <sheetView showGridLines="0" workbookViewId="0">
      <selection activeCell="V19" sqref="V19"/>
    </sheetView>
  </sheetViews>
  <sheetFormatPr baseColWidth="10" defaultColWidth="8.6640625" defaultRowHeight="14.4"/>
  <sheetData>
    <row r="1" spans="1:1" ht="18">
      <c r="A1" s="36"/>
    </row>
    <row r="2" spans="1:1">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enableFormatConditionsCalculation="0">
    <tabColor rgb="FF92D050"/>
  </sheetPr>
  <dimension ref="A1:K134"/>
  <sheetViews>
    <sheetView showGridLines="0" topLeftCell="A119" zoomScale="76" zoomScaleNormal="76" zoomScalePageLayoutView="76" workbookViewId="0">
      <selection activeCell="J7" sqref="J7"/>
    </sheetView>
  </sheetViews>
  <sheetFormatPr baseColWidth="10" defaultColWidth="8.6640625" defaultRowHeight="14.4"/>
  <cols>
    <col min="1" max="1" width="38.88671875" customWidth="1"/>
    <col min="2" max="3" width="15.88671875" customWidth="1"/>
    <col min="4" max="4" width="8.33203125" customWidth="1"/>
    <col min="5" max="5" width="7.33203125" customWidth="1"/>
    <col min="6" max="6" width="28.44140625" customWidth="1"/>
    <col min="7" max="7" width="15.88671875" customWidth="1"/>
    <col min="8" max="8" width="15.88671875" style="59" customWidth="1"/>
    <col min="9" max="9" width="15.88671875" style="4" customWidth="1"/>
    <col min="10" max="10" width="15.88671875" style="11" customWidth="1"/>
  </cols>
  <sheetData>
    <row r="1" spans="1:10" ht="42.75" customHeight="1" thickBot="1">
      <c r="A1" s="277" t="str">
        <f>CONCATENATE("L'Approche Raisonnée de l'Élimination de la Rage ( SARE ) - ",PAYS!E4," ",YEAR(PAYS!F14))</f>
        <v>L'Approche Raisonnée de l'Élimination de la Rage ( SARE ) - Niger 2016</v>
      </c>
      <c r="B1" s="278"/>
      <c r="C1" s="278"/>
      <c r="D1" s="278"/>
      <c r="E1" s="278"/>
      <c r="F1" s="278"/>
      <c r="G1" s="278"/>
      <c r="H1" s="278"/>
      <c r="I1" s="278"/>
      <c r="J1" s="279"/>
    </row>
    <row r="2" spans="1:10" s="105" customFormat="1" ht="8.25" customHeight="1" thickBot="1">
      <c r="A2" s="103"/>
      <c r="B2" s="103"/>
      <c r="C2" s="103"/>
      <c r="D2" s="104"/>
      <c r="E2" s="103"/>
      <c r="F2" s="103"/>
      <c r="G2" s="103"/>
      <c r="H2" s="103"/>
      <c r="I2" s="103"/>
      <c r="J2" s="103"/>
    </row>
    <row r="3" spans="1:10" ht="43.5" customHeight="1" thickBot="1">
      <c r="A3" s="285" t="str">
        <f>CONCATENATE("ÉTAPE   ",((INDEX(E7:E18,MATCH("EN ATTENDANT",J7:J18,0)))))</f>
        <v>ÉTAPE   0</v>
      </c>
      <c r="B3" s="286"/>
      <c r="C3" s="286"/>
      <c r="D3" s="286"/>
      <c r="E3" s="286"/>
      <c r="F3" s="286"/>
      <c r="G3" s="286"/>
      <c r="H3" s="286"/>
      <c r="I3" s="286"/>
      <c r="J3" s="287"/>
    </row>
    <row r="4" spans="1:10" s="96" customFormat="1" ht="8.25" customHeight="1" thickBot="1">
      <c r="A4" s="106"/>
      <c r="B4" s="107"/>
      <c r="C4" s="107"/>
      <c r="E4" s="108"/>
      <c r="F4" s="108"/>
      <c r="G4" s="108"/>
      <c r="H4" s="108"/>
      <c r="I4" s="108"/>
      <c r="J4" s="108"/>
    </row>
    <row r="5" spans="1:10" s="66" customFormat="1" ht="34.5" customHeight="1" thickBot="1">
      <c r="A5" s="280" t="s">
        <v>554</v>
      </c>
      <c r="B5" s="281"/>
      <c r="C5" s="282"/>
      <c r="E5" s="291" t="s">
        <v>564</v>
      </c>
      <c r="F5" s="292"/>
      <c r="G5" s="292"/>
      <c r="H5" s="292"/>
      <c r="I5" s="292"/>
      <c r="J5" s="293"/>
    </row>
    <row r="6" spans="1:10" ht="47.4" thickBot="1">
      <c r="A6" s="31" t="s">
        <v>285</v>
      </c>
      <c r="B6" s="41" t="s">
        <v>555</v>
      </c>
      <c r="C6" s="41" t="s">
        <v>556</v>
      </c>
      <c r="E6" s="283" t="s">
        <v>409</v>
      </c>
      <c r="F6" s="284"/>
      <c r="G6" s="41" t="s">
        <v>555</v>
      </c>
      <c r="H6" s="41" t="s">
        <v>556</v>
      </c>
      <c r="I6" s="79" t="s">
        <v>558</v>
      </c>
      <c r="J6" s="82" t="s">
        <v>557</v>
      </c>
    </row>
    <row r="7" spans="1:10" ht="30.75" customHeight="1">
      <c r="A7" s="290" t="s">
        <v>559</v>
      </c>
      <c r="B7" s="67">
        <f>(COUNT(STATUS))-C7</f>
        <v>2</v>
      </c>
      <c r="C7" s="68">
        <f>SUM(LÉGISLATION!E:E)</f>
        <v>13</v>
      </c>
      <c r="E7" s="84">
        <v>0</v>
      </c>
      <c r="F7" s="297" t="s">
        <v>565</v>
      </c>
      <c r="G7" s="298">
        <f>COUNTIF('SUMMARY (Stage)'!B6:B10,"?*")+COUNTIF('SUMMARY (Stage)'!E6:E10,"?*")+COUNTIF('SUMMARY (Stage)'!H6:H10,"?*")+COUNTIF('SUMMARY (Stage)'!K6:K10,"?*")+COUNTIF('SUMMARY (Stage)'!N6:N10,"?*")+COUNTIF('SUMMARY (Stage)'!Q6:Q10,"?*")+COUNTIF('SUMMARY (Stage)'!T6:T10,"?*")</f>
        <v>4</v>
      </c>
      <c r="H7" s="298">
        <f>COUNTIF('SUMMARY (Stage)'!C6:C10,"?*")+COUNTIF('SUMMARY (Stage)'!F6:F10,"?*")+COUNTIF('SUMMARY (Stage)'!I6:I10,"?*")+COUNTIF('SUMMARY (Stage)'!L6:L10,"?*")+COUNTIF('SUMMARY (Stage)'!O6:O10,"?*")+COUNTIF('SUMMARY (Stage)'!R6:R10,"?*")+COUNTIF('SUMMARY (Stage)'!U6:U10,"?*")</f>
        <v>3</v>
      </c>
      <c r="I7" s="299">
        <f>COUNTIF(LÉGISLATION!E11,"1")+COUNTIF('DIAGNOSTIC DE LABORATOIRE'!E5,"1")+COUNTIF('DIAGNOSTIC DE LABORATOIRE'!E6,"1")+COUNTIF('DIAGNOSTIC DE LABORATOIRE'!E7,"1")</f>
        <v>1</v>
      </c>
      <c r="J7" s="206" t="str">
        <f>IF(I7&gt;=2,"TERMINÉ",IF(AND(I7&gt;=1,H7&gt;=4),"TERMINÉ","EN ATTENDANT"))</f>
        <v>EN ATTENDANT</v>
      </c>
    </row>
    <row r="8" spans="1:10" ht="30.75" customHeight="1">
      <c r="A8" s="272"/>
      <c r="B8" s="67"/>
      <c r="C8" s="68"/>
      <c r="E8" s="85">
        <v>0.5</v>
      </c>
      <c r="F8" s="294"/>
      <c r="G8" s="295"/>
      <c r="H8" s="295"/>
      <c r="I8" s="296"/>
      <c r="J8" s="207" t="str">
        <f>IF(I7=4,"TERMINÉ","EN ATTENDANT")</f>
        <v>EN ATTENDANT</v>
      </c>
    </row>
    <row r="9" spans="1:10" ht="30.75" customHeight="1">
      <c r="A9" s="272" t="s">
        <v>560</v>
      </c>
      <c r="B9" s="67">
        <f>(COUNT(datastatus)-'SUMMARY (Score)'!C9)</f>
        <v>4</v>
      </c>
      <c r="C9" s="68">
        <f>SUM('COLLECTE DE DONNÉES ET ANALYSE'!E:E)</f>
        <v>14</v>
      </c>
      <c r="E9" s="86">
        <v>1</v>
      </c>
      <c r="F9" s="273" t="s">
        <v>566</v>
      </c>
      <c r="G9" s="275">
        <f>COUNTIF('SUMMARY (Stage)'!B11:B19,"?*")+COUNTIF('SUMMARY (Stage)'!E11:E19,"?*")+COUNTIF('SUMMARY (Stage)'!H11:H19,"?*")+COUNTIF('SUMMARY (Stage)'!K11:K19,"?*")+COUNTIF('SUMMARY (Stage)'!N11:N19,"?*")+COUNTIF('SUMMARY (Stage)'!Q11:Q19,"?*")+COUNTIF('SUMMARY (Stage)'!T11:T19,"?*")</f>
        <v>13</v>
      </c>
      <c r="H9" s="275">
        <f>COUNTIF('SUMMARY (Stage)'!C11:C19,"?*")+COUNTIF('SUMMARY (Stage)'!F11:F19,"?*")+COUNTIF('SUMMARY (Stage)'!I11:I19,"?*")+COUNTIF('SUMMARY (Stage)'!L11:L19,"?*")+COUNTIF('SUMMARY (Stage)'!O11:O19,"?*")+COUNTIF('SUMMARY (Stage)'!R11:R19,"?*")+COUNTIF('SUMMARY (Stage)'!U11:U19,"?*")</f>
        <v>17</v>
      </c>
      <c r="I9" s="288">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8</v>
      </c>
      <c r="J9" s="208" t="str">
        <f>IF(I9&gt;=5,"TERMINÉ",IF(AND(I9&gt;=1,H9&gt;16),"TERMINÉ","EN ATTENDANT"))</f>
        <v>TERMINÉ</v>
      </c>
    </row>
    <row r="10" spans="1:10" ht="30.75" customHeight="1">
      <c r="A10" s="272"/>
      <c r="B10" s="67"/>
      <c r="C10" s="68"/>
      <c r="E10" s="87">
        <v>1.5</v>
      </c>
      <c r="F10" s="274"/>
      <c r="G10" s="276"/>
      <c r="H10" s="276"/>
      <c r="I10" s="289"/>
      <c r="J10" s="209" t="str">
        <f>IF(I9=10,"TERMINÉ","EN ATTENDANT")</f>
        <v>EN ATTENDANT</v>
      </c>
    </row>
    <row r="11" spans="1:10" ht="30.75" customHeight="1">
      <c r="A11" s="272" t="s">
        <v>561</v>
      </c>
      <c r="B11" s="67">
        <f>COUNT(labstatus)-'SUMMARY (Score)'!C11</f>
        <v>6</v>
      </c>
      <c r="C11" s="68">
        <f>SUM('DIAGNOSTIC DE LABORATOIRE'!E:E)</f>
        <v>5</v>
      </c>
      <c r="E11" s="86">
        <v>2</v>
      </c>
      <c r="F11" s="273" t="s">
        <v>567</v>
      </c>
      <c r="G11" s="275">
        <f>COUNTIF('SUMMARY (Stage)'!B20:B28,"?*")+COUNTIF('SUMMARY (Stage)'!E20:E28,"?*")+COUNTIF('SUMMARY (Stage)'!H20:H28,"?*")+COUNTIF('SUMMARY (Stage)'!K20:K28,"?*")+COUNTIF('SUMMARY (Stage)'!N20:N28,"?*")+COUNTIF('SUMMARY (Stage)'!Q20:Q28,"?*")+COUNTIF('SUMMARY (Stage)'!T20:T28,"?*")</f>
        <v>13</v>
      </c>
      <c r="H11" s="275">
        <f>COUNTIF('SUMMARY (Stage)'!C20:C28,"?*")+COUNTIF('SUMMARY (Stage)'!F20:F28,"?*")+COUNTIF('SUMMARY (Stage)'!I20:I28,"?*")+COUNTIF('SUMMARY (Stage)'!L20:L28,"?*")+COUNTIF('SUMMARY (Stage)'!O20:O28,"?*")+COUNTIF('SUMMARY (Stage)'!R20:R28,"?*")+COUNTIF('SUMMARY (Stage)'!U20:U28,"?*")</f>
        <v>12</v>
      </c>
      <c r="I11" s="288">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3</v>
      </c>
      <c r="J11" s="208" t="str">
        <f>IF(I11&gt;=4,"TERMINÉ",IF(AND(I11&gt;=1,H11&gt;13),"TERMINÉ","EN ATTENDANT"))</f>
        <v>EN ATTENDANT</v>
      </c>
    </row>
    <row r="12" spans="1:10" ht="30.75" customHeight="1">
      <c r="A12" s="272"/>
      <c r="B12" s="67"/>
      <c r="C12" s="68"/>
      <c r="E12" s="87">
        <v>2.5</v>
      </c>
      <c r="F12" s="274"/>
      <c r="G12" s="276"/>
      <c r="H12" s="276"/>
      <c r="I12" s="289"/>
      <c r="J12" s="209" t="str">
        <f>IF(I11=8,"TERMINÉ","EN ATTENDANT")</f>
        <v>EN ATTENDANT</v>
      </c>
    </row>
    <row r="13" spans="1:10" ht="30.75" customHeight="1">
      <c r="A13" s="272" t="s">
        <v>578</v>
      </c>
      <c r="B13" s="67">
        <f>COUNT(iecstatus)-'SUMMARY (Score)'!C13</f>
        <v>17</v>
      </c>
      <c r="C13" s="68">
        <f>SUM('INFORMATION, ÉDUCTION ET LA COM'!E:E)</f>
        <v>0</v>
      </c>
      <c r="E13" s="85">
        <v>3</v>
      </c>
      <c r="F13" s="294" t="s">
        <v>568</v>
      </c>
      <c r="G13" s="295">
        <f>COUNTIF('SUMMARY (Stage)'!B29:B37,"?*")+COUNTIF('SUMMARY (Stage)'!E29:E37,"?*")+COUNTIF('SUMMARY (Stage)'!H29:H37,"?*")+COUNTIF('SUMMARY (Stage)'!K29:K37,"?*")+COUNTIF('SUMMARY (Stage)'!N29:N37,"?*")+COUNTIF('SUMMARY (Stage)'!Q29:Q37,"?*")+COUNTIF('SUMMARY (Stage)'!T29:T37,"?*")</f>
        <v>14</v>
      </c>
      <c r="H13" s="295">
        <f>COUNTIF('SUMMARY (Stage)'!C29:C37,"?*")+COUNTIF('SUMMARY (Stage)'!F29:F37,"?*")+COUNTIF('SUMMARY (Stage)'!I29:I37,"?*")+COUNTIF('SUMMARY (Stage)'!L29:L37,"?*")+COUNTIF('SUMMARY (Stage)'!O29:O37,"?*")+COUNTIF('SUMMARY (Stage)'!R29:R37,"?*")+COUNTIF('SUMMARY (Stage)'!U29:U37,"?*")</f>
        <v>4</v>
      </c>
      <c r="I13" s="296">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3</v>
      </c>
      <c r="J13" s="207" t="str">
        <f>IF(I13&gt;4,"TERMINÉ",IF(AND(I13&gt;=1,H13&gt;9),"TERMINÉ","EN ATTENDANT"))</f>
        <v>EN ATTENDANT</v>
      </c>
    </row>
    <row r="14" spans="1:10" ht="30.75" customHeight="1">
      <c r="A14" s="272"/>
      <c r="B14" s="67"/>
      <c r="C14" s="68"/>
      <c r="E14" s="85">
        <v>3.5</v>
      </c>
      <c r="F14" s="294"/>
      <c r="G14" s="295"/>
      <c r="H14" s="295"/>
      <c r="I14" s="296"/>
      <c r="J14" s="207" t="str">
        <f>IF(I13=9,"TERMINÉ","EN ATTENDANT")</f>
        <v>EN ATTENDANT</v>
      </c>
    </row>
    <row r="15" spans="1:10" ht="30.75" customHeight="1">
      <c r="A15" s="272" t="s">
        <v>562</v>
      </c>
      <c r="B15" s="67">
        <f>COUNT(prevstatus)-'SUMMARY (Score)'!C15</f>
        <v>19</v>
      </c>
      <c r="C15" s="68">
        <f>SUM('PRÉVENTION ET DE CONTRÔLE'!E:E)</f>
        <v>6</v>
      </c>
      <c r="E15" s="86">
        <v>4</v>
      </c>
      <c r="F15" s="273" t="s">
        <v>569</v>
      </c>
      <c r="G15" s="275">
        <f>COUNTIF('SUMMARY (Stage)'!B38:B46,"?*")+COUNTIF('SUMMARY (Stage)'!E38:E46,"?*")+COUNTIF('SUMMARY (Stage)'!H38:H46,"?*")+COUNTIF('SUMMARY (Stage)'!K38:K46,"?*")+COUNTIF('SUMMARY (Stage)'!N38:N46,"?*")+COUNTIF('SUMMARY (Stage)'!Q38:Q46,"?*")+COUNTIF('SUMMARY (Stage)'!T38:T46,"?*")</f>
        <v>8</v>
      </c>
      <c r="H15" s="275">
        <f>COUNTIF('SUMMARY (Stage)'!C38:C46,"?*")+COUNTIF('SUMMARY (Stage)'!F38:F46,"?*")+COUNTIF('SUMMARY (Stage)'!I38:I46,"?*")+COUNTIF('SUMMARY (Stage)'!L38:L46,"?*")+COUNTIF('SUMMARY (Stage)'!O38:O46,"?*")+COUNTIF('SUMMARY (Stage)'!R38:R46,"?*")+COUNTIF('SUMMARY (Stage)'!U38:U46,"?*")</f>
        <v>4</v>
      </c>
      <c r="I15" s="288">
        <f>COUNTIF('DIAGNOSTIC DE LABORATOIRE'!E13,"1")+COUNTIF('COLLECTE DE DONNÉES ET ANALYSE'!E18,"1")+COUNTIF('COLLECTE DE DONNÉES ET ANALYSE'!E19,"1")+COUNTIF('PRÉVENTION ET DE CONTRÔLE'!E18,"1")+COUNTIF('PRÉVENTION ET DE CONTRÔLE'!E26,"1")+COUNTIF(LÉGISLATION!E19,"1")+COUNTIF('PRÉVENTION ET DE CONTRÔLE'!E28,"1")</f>
        <v>3</v>
      </c>
      <c r="J15" s="208" t="str">
        <f>IF(I15&gt;3,"TERMINÉ",IF(AND(I15&gt;=1,H15&gt;6),"TERMINÉ","EN ATTENDANT"))</f>
        <v>EN ATTENDANT</v>
      </c>
    </row>
    <row r="16" spans="1:10" ht="30.75" customHeight="1">
      <c r="A16" s="272"/>
      <c r="B16" s="67"/>
      <c r="C16" s="68"/>
      <c r="E16" s="87">
        <v>4.5</v>
      </c>
      <c r="F16" s="274"/>
      <c r="G16" s="276"/>
      <c r="H16" s="276"/>
      <c r="I16" s="289"/>
      <c r="J16" s="209" t="str">
        <f>IF(I15=7,"TERMINÉ","EN ATTENDANT")</f>
        <v>EN ATTENDANT</v>
      </c>
    </row>
    <row r="17" spans="1:11" ht="30.75" customHeight="1" thickBot="1">
      <c r="A17" s="272"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5</v>
      </c>
      <c r="H17" s="70">
        <f>COUNTIF('SUMMARY (Stage)'!C47:C55,"?*")+COUNTIF('SUMMARY (Stage)'!F47:F55,"?*")+COUNTIF('SUMMARY (Stage)'!I47:I55,"?*")+COUNTIF('SUMMARY (Stage)'!L47:L55,"?*")+COUNTIF('SUMMARY (Stage)'!O47:O55,"?*")+COUNTIF('SUMMARY (Stage)'!R47:R55,"?*")+COUNTIF('SUMMARY (Stage)'!U47:U55,"?*")</f>
        <v>1</v>
      </c>
      <c r="I17" s="80">
        <f>H17</f>
        <v>1</v>
      </c>
      <c r="J17" s="210" t="str">
        <f>IF(I17=7,"TERMINÉ","EN ATTENDANT")</f>
        <v>EN ATTENDANT</v>
      </c>
    </row>
    <row r="18" spans="1:11" ht="30.75" customHeight="1">
      <c r="A18" s="272"/>
      <c r="B18" s="67"/>
      <c r="C18" s="68"/>
      <c r="E18" s="195">
        <v>5</v>
      </c>
      <c r="G18" s="59"/>
      <c r="J18" s="16" t="s">
        <v>575</v>
      </c>
    </row>
    <row r="19" spans="1:11" ht="30.75" customHeight="1" thickBot="1">
      <c r="A19" s="109" t="s">
        <v>563</v>
      </c>
      <c r="B19" s="110">
        <f>COUNT(crossstatus)-'SUMMARY (Score)'!C19</f>
        <v>9</v>
      </c>
      <c r="C19" s="69">
        <f>SUM('QUESTIONS TRANSVERSALES'!E:E)</f>
        <v>3</v>
      </c>
      <c r="G19" s="59"/>
    </row>
    <row r="20" spans="1:11">
      <c r="B20" s="55"/>
      <c r="G20" s="59"/>
    </row>
    <row r="21" spans="1:11">
      <c r="B21" s="55"/>
      <c r="G21" s="59"/>
    </row>
    <row r="22" spans="1:11">
      <c r="B22" s="55"/>
      <c r="G22" s="59"/>
    </row>
    <row r="23" spans="1:11">
      <c r="B23" s="55"/>
      <c r="G23" s="59"/>
    </row>
    <row r="24" spans="1:11">
      <c r="B24" s="55"/>
      <c r="G24" s="59"/>
    </row>
    <row r="25" spans="1:11" ht="17.399999999999999">
      <c r="A25" s="65" t="s">
        <v>380</v>
      </c>
      <c r="G25" s="59"/>
    </row>
    <row r="27" spans="1:11">
      <c r="H27" s="13"/>
      <c r="I27" s="13"/>
      <c r="J27" s="7"/>
      <c r="K27" s="13"/>
    </row>
    <row r="28" spans="1:11">
      <c r="H28" s="13"/>
      <c r="I28" s="13"/>
      <c r="J28" s="7"/>
      <c r="K28" s="13"/>
    </row>
    <row r="29" spans="1:11" ht="15.75" customHeight="1">
      <c r="J29" s="7"/>
      <c r="K29" s="13"/>
    </row>
    <row r="30" spans="1:11" ht="15.75" customHeight="1">
      <c r="J30" s="7"/>
      <c r="K30" s="13"/>
    </row>
    <row r="31" spans="1:11">
      <c r="J31" s="7"/>
      <c r="K31" s="13"/>
    </row>
    <row r="32" spans="1:11">
      <c r="J32" s="7"/>
      <c r="K32" s="13"/>
    </row>
    <row r="33" spans="8:11">
      <c r="H33" s="13"/>
      <c r="I33" s="13"/>
      <c r="J33" s="7"/>
      <c r="K33" s="13"/>
    </row>
    <row r="34" spans="8:11">
      <c r="H34" s="13"/>
      <c r="I34" s="13"/>
      <c r="J34" s="7"/>
      <c r="K34" s="13"/>
    </row>
    <row r="35" spans="8:11">
      <c r="H35" s="13"/>
      <c r="I35" s="13"/>
      <c r="J35" s="7"/>
      <c r="K35" s="13"/>
    </row>
    <row r="36" spans="8:11">
      <c r="H36" s="13"/>
      <c r="I36" s="13"/>
      <c r="J36" s="7"/>
      <c r="K36" s="13"/>
    </row>
    <row r="37" spans="8:11">
      <c r="H37" s="13"/>
      <c r="I37" s="13"/>
      <c r="J37" s="7"/>
      <c r="K37" s="13"/>
    </row>
    <row r="38" spans="8:11">
      <c r="H38" s="13"/>
      <c r="I38" s="13"/>
      <c r="J38" s="7"/>
      <c r="K38" s="13"/>
    </row>
    <row r="39" spans="8:11">
      <c r="H39" s="13"/>
      <c r="I39" s="13"/>
      <c r="J39" s="7"/>
      <c r="K39" s="13"/>
    </row>
    <row r="40" spans="8:11">
      <c r="H40" s="13"/>
      <c r="I40" s="13"/>
      <c r="J40" s="7"/>
      <c r="K40" s="13"/>
    </row>
    <row r="41" spans="8:11">
      <c r="H41" s="13"/>
      <c r="I41" s="13"/>
      <c r="J41" s="7"/>
      <c r="K41" s="13"/>
    </row>
    <row r="42" spans="8:11">
      <c r="H42" s="13"/>
      <c r="I42" s="13"/>
      <c r="J42" s="7"/>
      <c r="K42" s="13"/>
    </row>
    <row r="43" spans="8:11">
      <c r="H43" s="13"/>
      <c r="I43" s="13"/>
      <c r="J43" s="7"/>
      <c r="K43" s="13"/>
    </row>
    <row r="44" spans="8:11">
      <c r="H44" s="13"/>
      <c r="I44" s="13"/>
      <c r="J44" s="7"/>
      <c r="K44" s="13"/>
    </row>
    <row r="45" spans="8:11">
      <c r="H45" s="13"/>
      <c r="I45" s="13"/>
      <c r="J45" s="7"/>
      <c r="K45" s="13"/>
    </row>
    <row r="46" spans="8:11">
      <c r="H46" s="13"/>
      <c r="I46" s="13"/>
      <c r="J46" s="7"/>
      <c r="K46" s="13"/>
    </row>
    <row r="47" spans="8:11">
      <c r="H47" s="13"/>
      <c r="I47" s="13"/>
      <c r="J47" s="7"/>
      <c r="K47" s="13"/>
    </row>
    <row r="48" spans="8:11">
      <c r="H48" s="13"/>
      <c r="I48" s="13"/>
      <c r="J48" s="7"/>
      <c r="K48" s="13"/>
    </row>
    <row r="49" spans="8:11">
      <c r="H49" s="13"/>
      <c r="I49" s="13"/>
      <c r="J49" s="7"/>
      <c r="K49" s="13"/>
    </row>
    <row r="50" spans="8:11">
      <c r="H50" s="13"/>
      <c r="I50" s="13"/>
      <c r="J50" s="7"/>
      <c r="K50" s="13"/>
    </row>
    <row r="51" spans="8:11">
      <c r="H51" s="13"/>
      <c r="I51" s="13"/>
      <c r="J51" s="7"/>
      <c r="K51" s="13"/>
    </row>
    <row r="52" spans="8:11">
      <c r="H52" s="13"/>
      <c r="I52" s="13"/>
      <c r="J52" s="7"/>
      <c r="K52" s="13"/>
    </row>
    <row r="53" spans="8:11">
      <c r="H53" s="13"/>
      <c r="I53" s="13"/>
      <c r="J53" s="7"/>
      <c r="K53" s="13"/>
    </row>
    <row r="54" spans="8:11">
      <c r="H54" s="13"/>
      <c r="I54" s="13"/>
      <c r="J54" s="7"/>
      <c r="K54" s="13"/>
    </row>
    <row r="55" spans="8:11">
      <c r="H55" s="13"/>
      <c r="I55" s="13"/>
      <c r="J55" s="7"/>
      <c r="K55" s="13"/>
    </row>
    <row r="56" spans="8:11">
      <c r="H56" s="13"/>
      <c r="I56" s="13"/>
      <c r="J56" s="7"/>
      <c r="K56" s="13"/>
    </row>
    <row r="57" spans="8:11">
      <c r="J57" s="7"/>
      <c r="K57" s="13"/>
    </row>
    <row r="58" spans="8:11">
      <c r="J58" s="7"/>
      <c r="K58" s="13"/>
    </row>
    <row r="59" spans="8:11">
      <c r="J59" s="7"/>
      <c r="K59" s="13"/>
    </row>
    <row r="60" spans="8:11">
      <c r="J60" s="7"/>
      <c r="K60" s="13"/>
    </row>
    <row r="61" spans="8:11">
      <c r="J61" s="7"/>
      <c r="K61" s="13"/>
    </row>
    <row r="62" spans="8:11">
      <c r="J62" s="7"/>
      <c r="K62" s="13"/>
    </row>
    <row r="63" spans="8:11">
      <c r="J63" s="7"/>
      <c r="K63" s="13"/>
    </row>
    <row r="64" spans="8:11">
      <c r="J64" s="7"/>
      <c r="K64" s="13"/>
    </row>
    <row r="65" spans="8:11">
      <c r="J65" s="7"/>
      <c r="K65" s="13"/>
    </row>
    <row r="66" spans="8:11">
      <c r="J66" s="7"/>
      <c r="K66" s="13"/>
    </row>
    <row r="67" spans="8:11">
      <c r="J67" s="7"/>
      <c r="K67" s="13"/>
    </row>
    <row r="68" spans="8:11">
      <c r="J68" s="7"/>
      <c r="K68" s="13"/>
    </row>
    <row r="69" spans="8:11">
      <c r="H69" s="13"/>
      <c r="I69" s="13"/>
      <c r="J69" s="7"/>
      <c r="K69" s="13"/>
    </row>
    <row r="70" spans="8:11">
      <c r="H70" s="13"/>
      <c r="I70" s="13"/>
      <c r="J70" s="7"/>
      <c r="K70" s="13"/>
    </row>
    <row r="71" spans="8:11">
      <c r="J71" s="7"/>
      <c r="K71" s="13"/>
    </row>
    <row r="72" spans="8:11">
      <c r="J72" s="7"/>
      <c r="K72" s="13"/>
    </row>
    <row r="73" spans="8:11">
      <c r="J73" s="7"/>
      <c r="K73" s="13"/>
    </row>
    <row r="74" spans="8:11">
      <c r="J74" s="7"/>
      <c r="K74" s="13"/>
    </row>
    <row r="75" spans="8:11">
      <c r="J75" s="7"/>
      <c r="K75" s="13"/>
    </row>
    <row r="76" spans="8:11">
      <c r="J76" s="7"/>
      <c r="K76" s="13"/>
    </row>
    <row r="77" spans="8:11">
      <c r="J77" s="7"/>
      <c r="K77" s="13"/>
    </row>
    <row r="78" spans="8:11">
      <c r="J78" s="7"/>
      <c r="K78" s="13"/>
    </row>
    <row r="79" spans="8:11">
      <c r="H79" s="13"/>
      <c r="I79" s="13"/>
      <c r="J79" s="7"/>
      <c r="K79" s="13"/>
    </row>
    <row r="80" spans="8:11">
      <c r="H80" s="13"/>
      <c r="I80" s="13"/>
      <c r="J80" s="7"/>
      <c r="K80" s="13"/>
    </row>
    <row r="81" spans="8:11">
      <c r="H81" s="13"/>
      <c r="I81" s="13"/>
      <c r="J81" s="7"/>
      <c r="K81" s="13"/>
    </row>
    <row r="82" spans="8:11">
      <c r="H82" s="13"/>
      <c r="I82" s="13"/>
      <c r="J82" s="7"/>
      <c r="K82" s="13"/>
    </row>
    <row r="83" spans="8:11">
      <c r="H83" s="13"/>
      <c r="I83" s="13"/>
      <c r="J83" s="7"/>
      <c r="K83" s="13"/>
    </row>
    <row r="84" spans="8:11">
      <c r="H84" s="13"/>
      <c r="I84" s="13"/>
      <c r="J84" s="7"/>
      <c r="K84" s="13"/>
    </row>
    <row r="85" spans="8:11">
      <c r="H85" s="13"/>
      <c r="I85" s="13"/>
      <c r="J85" s="7"/>
      <c r="K85" s="13"/>
    </row>
    <row r="86" spans="8:11">
      <c r="H86" s="13"/>
      <c r="I86" s="13"/>
      <c r="J86" s="7"/>
      <c r="K86" s="13"/>
    </row>
    <row r="87" spans="8:11">
      <c r="H87" s="13"/>
      <c r="I87" s="13"/>
      <c r="J87" s="7"/>
      <c r="K87" s="13"/>
    </row>
    <row r="88" spans="8:11">
      <c r="H88" s="13"/>
      <c r="I88" s="13"/>
      <c r="J88" s="7"/>
      <c r="K88" s="13"/>
    </row>
    <row r="89" spans="8:11">
      <c r="H89" s="13"/>
      <c r="I89" s="13"/>
      <c r="J89" s="7"/>
      <c r="K89" s="13"/>
    </row>
    <row r="90" spans="8:11">
      <c r="H90" s="13"/>
      <c r="I90" s="13"/>
      <c r="J90" s="7"/>
      <c r="K90" s="13"/>
    </row>
    <row r="91" spans="8:11">
      <c r="H91" s="13"/>
      <c r="I91" s="13"/>
      <c r="J91" s="7"/>
      <c r="K91" s="13"/>
    </row>
    <row r="92" spans="8:11">
      <c r="H92" s="13"/>
      <c r="I92" s="13"/>
      <c r="J92" s="7"/>
      <c r="K92" s="13"/>
    </row>
    <row r="93" spans="8:11">
      <c r="H93" s="13"/>
      <c r="I93" s="13"/>
      <c r="J93" s="7"/>
      <c r="K93" s="13"/>
    </row>
    <row r="94" spans="8:11">
      <c r="H94" s="13"/>
      <c r="I94" s="13"/>
      <c r="J94" s="7"/>
      <c r="K94" s="13"/>
    </row>
    <row r="95" spans="8:11">
      <c r="J95" s="7"/>
      <c r="K95" s="13"/>
    </row>
    <row r="96" spans="8:11">
      <c r="J96" s="7"/>
      <c r="K96" s="13"/>
    </row>
    <row r="97" spans="8:11">
      <c r="J97" s="7"/>
      <c r="K97" s="13"/>
    </row>
    <row r="98" spans="8:11">
      <c r="J98" s="7"/>
      <c r="K98" s="13"/>
    </row>
    <row r="99" spans="8:11">
      <c r="J99" s="7"/>
      <c r="K99" s="13"/>
    </row>
    <row r="100" spans="8:11">
      <c r="J100" s="7"/>
      <c r="K100" s="13"/>
    </row>
    <row r="101" spans="8:11">
      <c r="J101" s="7"/>
      <c r="K101" s="13"/>
    </row>
    <row r="102" spans="8:11">
      <c r="J102" s="7"/>
      <c r="K102" s="13"/>
    </row>
    <row r="103" spans="8:11">
      <c r="J103" s="7"/>
      <c r="K103" s="13"/>
    </row>
    <row r="104" spans="8:11">
      <c r="H104" s="13"/>
      <c r="I104" s="13"/>
      <c r="J104" s="7"/>
      <c r="K104" s="13"/>
    </row>
    <row r="105" spans="8:11">
      <c r="H105" s="13"/>
      <c r="I105" s="13"/>
      <c r="J105" s="7"/>
      <c r="K105" s="13"/>
    </row>
    <row r="106" spans="8:11">
      <c r="H106" s="13"/>
      <c r="I106" s="13"/>
      <c r="J106" s="7"/>
      <c r="K106" s="13"/>
    </row>
    <row r="107" spans="8:11">
      <c r="H107" s="13"/>
      <c r="I107" s="13"/>
      <c r="J107" s="7"/>
      <c r="K107" s="13"/>
    </row>
    <row r="108" spans="8:11">
      <c r="J108" s="7"/>
      <c r="K108" s="13"/>
    </row>
    <row r="109" spans="8:11">
      <c r="J109" s="7"/>
      <c r="K109" s="13"/>
    </row>
    <row r="110" spans="8:11">
      <c r="J110" s="7"/>
      <c r="K110" s="13"/>
    </row>
    <row r="111" spans="8:11">
      <c r="J111" s="7"/>
      <c r="K111" s="13"/>
    </row>
    <row r="112" spans="8:11">
      <c r="J112" s="7"/>
      <c r="K112" s="13"/>
    </row>
    <row r="113" spans="8:11">
      <c r="J113" s="7"/>
      <c r="K113" s="13"/>
    </row>
    <row r="114" spans="8:11">
      <c r="J114" s="7"/>
      <c r="K114" s="13"/>
    </row>
    <row r="115" spans="8:11">
      <c r="J115" s="7"/>
      <c r="K115" s="13"/>
    </row>
    <row r="116" spans="8:11">
      <c r="J116" s="7"/>
      <c r="K116" s="13"/>
    </row>
    <row r="117" spans="8:11">
      <c r="J117" s="7"/>
      <c r="K117" s="13"/>
    </row>
    <row r="118" spans="8:11">
      <c r="J118" s="7"/>
      <c r="K118" s="13"/>
    </row>
    <row r="119" spans="8:11">
      <c r="J119" s="7"/>
      <c r="K119" s="13"/>
    </row>
    <row r="120" spans="8:11">
      <c r="J120" s="7"/>
      <c r="K120" s="13"/>
    </row>
    <row r="121" spans="8:11">
      <c r="J121" s="7"/>
      <c r="K121" s="13"/>
    </row>
    <row r="122" spans="8:11">
      <c r="J122" s="7"/>
      <c r="K122" s="13"/>
    </row>
    <row r="123" spans="8:11">
      <c r="J123" s="7"/>
      <c r="K123" s="13"/>
    </row>
    <row r="124" spans="8:11">
      <c r="J124" s="7"/>
      <c r="K124" s="13"/>
    </row>
    <row r="125" spans="8:11">
      <c r="H125" s="13"/>
      <c r="I125" s="13"/>
      <c r="J125" s="7"/>
      <c r="K125" s="13"/>
    </row>
    <row r="126" spans="8:11">
      <c r="H126" s="13"/>
      <c r="I126" s="13"/>
      <c r="J126" s="7"/>
      <c r="K126" s="13"/>
    </row>
    <row r="127" spans="8:11">
      <c r="H127" s="13"/>
      <c r="I127" s="13"/>
      <c r="J127" s="7"/>
      <c r="K127" s="13"/>
    </row>
    <row r="128" spans="8:11">
      <c r="H128" s="13"/>
      <c r="I128" s="13"/>
      <c r="J128" s="7"/>
      <c r="K128" s="13"/>
    </row>
    <row r="129" spans="8:11">
      <c r="H129" s="13"/>
      <c r="I129" s="13"/>
      <c r="J129" s="7"/>
      <c r="K129" s="13"/>
    </row>
    <row r="130" spans="8:11">
      <c r="H130" s="13"/>
      <c r="I130" s="13"/>
      <c r="J130" s="7"/>
      <c r="K130" s="13"/>
    </row>
    <row r="131" spans="8:11">
      <c r="H131" s="13"/>
      <c r="I131" s="13"/>
      <c r="J131" s="7"/>
      <c r="K131" s="13"/>
    </row>
    <row r="132" spans="8:11">
      <c r="H132" s="13"/>
      <c r="I132" s="13"/>
      <c r="J132" s="7"/>
      <c r="K132" s="13"/>
    </row>
    <row r="133" spans="8:11">
      <c r="H133" s="13"/>
      <c r="I133" s="13"/>
      <c r="J133" s="7"/>
      <c r="K133" s="13"/>
    </row>
    <row r="134" spans="8:11">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H15:H16"/>
    <mergeCell ref="I15:I16"/>
    <mergeCell ref="E5:J5"/>
    <mergeCell ref="H11:H12"/>
    <mergeCell ref="I11:I12"/>
    <mergeCell ref="F13:F14"/>
    <mergeCell ref="G13:G14"/>
    <mergeCell ref="H13:H14"/>
    <mergeCell ref="I13:I14"/>
    <mergeCell ref="F7:F8"/>
    <mergeCell ref="G7:G8"/>
    <mergeCell ref="H7:H8"/>
    <mergeCell ref="I7:I8"/>
    <mergeCell ref="F9:F10"/>
    <mergeCell ref="A1:J1"/>
    <mergeCell ref="A5:C5"/>
    <mergeCell ref="E6:F6"/>
    <mergeCell ref="A3:J3"/>
    <mergeCell ref="G9:G10"/>
    <mergeCell ref="H9:H10"/>
    <mergeCell ref="I9:I10"/>
    <mergeCell ref="A7:A8"/>
    <mergeCell ref="A9:A10"/>
    <mergeCell ref="A13:A14"/>
    <mergeCell ref="A15:A16"/>
    <mergeCell ref="A17:A18"/>
    <mergeCell ref="F11:F12"/>
    <mergeCell ref="G11:G12"/>
    <mergeCell ref="A11:A12"/>
    <mergeCell ref="F15:F16"/>
    <mergeCell ref="G15:G16"/>
  </mergeCells>
  <conditionalFormatting sqref="J7:J17">
    <cfRule type="cellIs" dxfId="1" priority="2" operator="equal">
      <formula>"TERMINÉ"</formula>
    </cfRule>
    <cfRule type="cellIs" dxfId="0"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enableFormatConditionsCalculation="0">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8.6640625" defaultRowHeight="14.4"/>
  <cols>
    <col min="1" max="1" width="8.6640625" style="52"/>
    <col min="2" max="3" width="30.44140625" style="11" customWidth="1"/>
    <col min="4" max="4" width="24.33203125" style="16" hidden="1" customWidth="1"/>
    <col min="5" max="6" width="30.44140625" style="11" customWidth="1"/>
    <col min="7" max="7" width="24.33203125" style="11" hidden="1" customWidth="1"/>
    <col min="8" max="9" width="30.44140625" style="11" customWidth="1"/>
    <col min="10" max="10" width="24.33203125" style="11" hidden="1" customWidth="1"/>
    <col min="11" max="12" width="30.44140625" style="11" customWidth="1"/>
    <col min="13" max="13" width="24.33203125" style="11" hidden="1" customWidth="1"/>
    <col min="14" max="15" width="30.44140625" style="11" customWidth="1"/>
    <col min="16" max="16" width="24.33203125" style="11" hidden="1" customWidth="1"/>
    <col min="17" max="18" width="30.44140625" style="11" customWidth="1"/>
    <col min="19" max="19" width="24.33203125" style="11" hidden="1" customWidth="1"/>
    <col min="20" max="21" width="30.44140625" style="11" customWidth="1"/>
    <col min="22" max="16384" width="8.6640625" style="11"/>
  </cols>
  <sheetData>
    <row r="1" spans="1:26" ht="18">
      <c r="A1" s="37" t="s">
        <v>15</v>
      </c>
      <c r="E1" s="57" t="str">
        <f>IF(ISBLANK(PAYS!E4:I4),"",UPPER(PAYS!E4:I4))</f>
        <v>NIGER</v>
      </c>
      <c r="F1" s="58">
        <f>IF(ISBLANK(PAYS!F14:I14),"",PAYS!F14:I14)</f>
        <v>42628</v>
      </c>
    </row>
    <row r="2" spans="1:26">
      <c r="A2" s="12" t="s">
        <v>14</v>
      </c>
    </row>
    <row r="4" spans="1:26" ht="14.1" customHeight="1">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9">
      <c r="A6" s="53">
        <v>0</v>
      </c>
      <c r="B6" s="165" t="str">
        <f t="array" ref="B6">IF(ROWS(B$6:B6)&lt;=$A$7,INDEX(LÉGISLATION!$C$5:$C$19,SMALL(IF(STAGE=0,IF(STATUS=0,ROW(STATUS)-ROW(LÉGISLATION!$E$5)+1)),ROWS(B$6:B6))),"")</f>
        <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Des contacts sont établis avec un laboratoire international de référence de rage ou un centre collaborateur/centre international de référence</v>
      </c>
      <c r="I6" s="170" t="str">
        <f t="array" ref="I6">IF(ROWS(I$6:I6)&lt;=$G$8,INDEX('DIAGNOSTIC DE LABORATOIRE'!$C$5:$C$15,SMALL(IF(labstage=0,IF(labstatus=1,ROW(labstatus)-ROW('DIAGNOSTIC DE LABORATOIRE'!$F$5)+1)),ROWS(I$6:I6))),"")</f>
        <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Les résultats des échantillons de la rage sont partagés d’une manière appropriée avec les autorités locales et nationales</v>
      </c>
      <c r="U6" s="170" t="str">
        <f t="array" ref="U6">IF(ROWS(U$6:U6)&lt;=$S$8,INDEX('QUESTIONS TRANSVERSALES'!$C$5:$C$16,SMALL(IF(crossstage=0,IF(crossstatus=1,ROW(crossstatus)-ROW('QUESTIONS TRANSVERSALES'!$E$5)+1)),ROWS(U$6:U6))),"")</f>
        <v/>
      </c>
      <c r="Z6" s="90"/>
    </row>
    <row r="7" spans="1:26" s="15" customFormat="1" ht="69">
      <c r="A7" s="43">
        <f>SUMPRODUCT((STAGE=0)*(STATUS=0))</f>
        <v>0</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3</v>
      </c>
      <c r="H7" s="176" t="str">
        <f t="array" ref="H7">IF(ROWS(H$6:H7)&lt;=$G$7,INDEX('DIAGNOSTIC DE LABORATOIRE'!$C$5:$C$15,SMALL(IF(labstage=0,IF(labstatus=0,ROW(labstatus)-ROW('DIAGNOSTIC DE LABORATOIRE'!$E$5)+1)),ROWS(H$6:H7))),"")</f>
        <v>Au moins un échantillon suspect de rage (animal, homme) est soumis à un laboratoire international de référence de rage pour la confirmation</v>
      </c>
      <c r="I7" s="177" t="str">
        <f t="array" ref="I7">IF(ROWS(I$6:I7)&lt;=$G$8,INDEX('DIAGNOSTIC DE LABORATOIRE'!$C$5:$C$15,SMALL(IF(labstage=0,IF(labstatus=1,ROW(labstatus)-ROW('DIAGNOSTIC DE LABORATOIRE'!$F$5)+1)),ROWS(I$6:I7))),"")</f>
        <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1</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69">
      <c r="A8" s="43">
        <f>SUMPRODUCT((STAGE=0)*(STATUS=1))</f>
        <v>3</v>
      </c>
      <c r="B8" s="178" t="str">
        <f t="array" ref="B8">IF(ROWS(B$6:B8)&lt;=$A$7,INDEX(LÉGISLATION!$C$5:$C$19,SMALL(IF(STAGE=0,IF(STATUS=0,ROW(STATUS)-ROW(LÉGISLATION!$E$5)+1)),ROWS(B$6:B8))),"")</f>
        <v/>
      </c>
      <c r="C8" s="173" t="str">
        <f t="array" ref="C8">IF(ROWS(C$6:C8)&lt;=$A$8,INDEX(LÉGISLATION!$C$5:$C$19,SMALL(IF(STAGE=0,IF(STATUS=1,ROW(STATUS)-ROW(LÉGISLATION!$E$5)+1)),ROWS(C$6:C8))),"")</f>
        <v>L’autorité nationale annonce au moins un cas de rage confirmé à l’OMS ou l’OIE</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0</v>
      </c>
      <c r="H8" s="176" t="str">
        <f t="array" ref="H8">IF(ROWS(H$6:H8)&lt;=$G$7,INDEX('DIAGNOSTIC DE LABORATOIRE'!$C$5:$C$15,SMALL(IF(labstage=0,IF(labstatus=0,ROW(labstatus)-ROW('DIAGNOSTIC DE LABORATOIRE'!$E$5)+1)),ROWS(H$6:H8))),"")</f>
        <v>Des échantillons suspects de rage (animaux, humaine) sont soumis à un laboratoire national et analysés par une méthode recommandée au niveau international</v>
      </c>
      <c r="I8" s="177" t="str">
        <f t="array" ref="I8">IF(ROWS(I$6:I8)&lt;=$G$8,INDEX('DIAGNOSTIC DE LABORATOIRE'!$C$5:$C$15,SMALL(IF(labstage=0,IF(labstatus=1,ROW(labstatus)-ROW('DIAGNOSTIC DE LABORATOIRE'!$F$5)+1)),ROWS(I$6:I8))),"")</f>
        <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0</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ht="13.8">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ht="13.8">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69">
      <c r="A11" s="53">
        <v>1</v>
      </c>
      <c r="B11" s="165" t="str">
        <f t="array" ref="B11">IF(ROWS(B$11:B11)&lt;=$A$12,INDEX(LÉGISLATION!$C$5:$C$19,SMALL(IF(STAGE=1,IF(STATUS=0,ROW(STATUS)-ROW(LÉGISLATION!$E$5)+1)),ROWS(B$11:B11))),"")</f>
        <v>S'il existe un système juridique, il a été testé pour déterminer s’il est adéquat.</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 xml:space="preserve">Des registres de morsures de chiens sont examinés et les données sont compilées </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Des études sur 'Knowledge, Attitude and Practice (KAP survey)' sur la rage ont été menées dans des zones pilotes</v>
      </c>
      <c r="L11" s="166" t="str">
        <f t="array" ref="L11">IF(ROWS(L$11:L11)&lt;=$J$13,INDEX('INFORMATION, ÉDUCTION ET LA COM'!$C$5:$C$21,SMALL(IF(iecstage=1,IF(iecstatus=1,ROW(iecstatus)-ROW('INFORMATION, ÉDUCTION ET LA COM'!$E$5)+1)),ROWS(L$11:L11))),"")</f>
        <v/>
      </c>
      <c r="M11" s="171"/>
      <c r="N11" s="169" t="str">
        <f t="array" ref="N11">IF(ROWS(N$11:N11)&lt;=$M$12,INDEX('PRÉVENTION ET DE CONTRÔLE'!$C$5:$C$29,SMALL(IF(prevstage=1,IF(prevstatus=0,ROW(prevstatus)-ROW('PRÉVENTION ET DE CONTRÔLE'!$E$5)+1)),ROWS(N$11:N11))),"")</f>
        <v>Une première évaluation sur l'accès aux PPE (Prophylaxie Post-Exposition) (et PrEP (Prophylaxie Pré-Exposition)) a été réalisée</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Basé sur l'expérience de la zone pilote, un plan d'action de lutte contre la rage à court terme a été élaboré et approuvé par les parties prenantes au niveau local / national</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110.4">
      <c r="A12" s="46">
        <f>SUMPRODUCT((STAGE=1)*(STATUS=0))</f>
        <v>1</v>
      </c>
      <c r="B12" s="178" t="str">
        <f t="array" ref="B12">IF(ROWS(B$11:B12)&lt;=$A$12,INDEX(LÉGISLATION!$C$5:$C$19,SMALL(IF(STAGE=1,IF(STATUS=0,ROW(STATUS)-ROW(LÉGISLATION!$E$5)+1)),ROWS(B$11:B12))),"")</f>
        <v/>
      </c>
      <c r="C12" s="173" t="str">
        <f t="array" ref="C12">IF(ROWS(C$11:C12)&lt;=$A$13,INDEX(LÉGISLATION!$C$5:$C$19,SMALL(IF(STAGE=1,IF(STATUS=1,ROW(STATUS)-ROW(LÉGISLATION!$E$5)+1)),ROWS(C$11:C12))),"")</f>
        <v>La définition de cas de rage humaine a été disséminée aux professionnels concernés</v>
      </c>
      <c r="D12" s="188">
        <f>SUMPRODUCT((datastage=1)*(datastatus=0))</f>
        <v>2</v>
      </c>
      <c r="E12" s="178" t="str">
        <f t="array" ref="E12">IF(ROWS(E$11:E12)&lt;=$D$12,INDEX('COLLECTE DE DONNÉES ET ANALYSE'!$C$5:$C$22,SMALL(IF(datastage=1,IF(datastatus=0,ROW(datastatus)-ROW('COLLECTE DE DONNÉES ET ANALYSE'!$E$5)+1)),ROWS(E$11:E12))),"")</f>
        <v xml:space="preserve">Des études sur la population canine ont été effectuées dans les zones pilotes pour déterminer la taille,  la dynamique et l’accessibilité </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5</v>
      </c>
      <c r="K12" s="178" t="str">
        <f t="array" ref="K12">IF(ROWS(K$11:K12)&lt;=$J$12,INDEX('INFORMATION, ÉDUCTION ET LA COM'!$C$5:$C$21,SMALL(IF(iecstage=1,IF(iecstatus=0,ROW(iecstatus)-ROW('INFORMATION, ÉDUCTION ET LA COM'!$E$5)+1)),ROWS(K$11:K12))),"")</f>
        <v>Les publics cibles ont été identifiés pour les communications publiques, professionnelles et de plaidoyer (communautés à risque, les propriétaires de chiens, les professionnels de la santé, leader de la communauté/autorités à risque, politiciens)</v>
      </c>
      <c r="L12" s="173" t="str">
        <f t="array" ref="L12">IF(ROWS(L$11:L12)&lt;=$J$13,INDEX('INFORMATION, ÉDUCTION ET LA COM'!$C$5:$C$21,SMALL(IF(iecstage=1,IF(iecstatus=1,ROW(iecstatus)-ROW('INFORMATION, ÉDUCTION ET LA COM'!$E$5)+1)),ROWS(L$11:L12))),"")</f>
        <v/>
      </c>
      <c r="M12" s="179">
        <f>SUMPRODUCT((prevstage=1)*(prevstatus=0))</f>
        <v>3</v>
      </c>
      <c r="N12" s="176" t="str">
        <f t="array" ref="N12">IF(ROWS(N$11:N12)&lt;=$M$12,INDEX('PRÉVENTION ET DE CONTRÔLE'!$C$5:$C$29,SMALL(IF(prevstage=1,IF(prevstatus=0,ROW(prevstatus)-ROW('PRÉVENTION ET DE CONTRÔLE'!$E$5)+1)),ROWS(N$11:N12))),"")</f>
        <v>La vaccination des chiens dans certaines régions ou zones pilotes du pays a commencé</v>
      </c>
      <c r="O12" s="177" t="str">
        <f t="array" ref="O12">IF(ROWS(O$11:O12)&lt;=$M$13,INDEX('PRÉVENTION ET DE CONTRÔLE'!$C$5:$C$29,SMALL(IF(prevstage=1,IF(prevstatus=1,ROW(prevstatus)-ROW('PRÉVENTION ET DE CONTRÔLE'!$E$5)+1)),ROWS(O$11:O12))),"")</f>
        <v>Les vaccins antirabiques pour les chiens sont disponibles dans le pays</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2</v>
      </c>
      <c r="T12" s="176" t="str">
        <f t="array" ref="T12">IF(ROWS(T$11:T12)&lt;=$S$12,INDEX('QUESTIONS TRANSVERSALES'!$C$5:$C$16,SMALL(IF(crossstage=1,IF(crossstatus=0,ROW(crossstatus)-ROW('QUESTIONS TRANSVERSALES'!$E$5)+1)),ROWS(T$11:T12))),"")</f>
        <v>Les mécanismes de mobilisation de fonds d'urgence en cas d'épidémie ont été identifiés</v>
      </c>
      <c r="U12" s="177" t="str">
        <f t="array" ref="U12">IF(ROWS(U$11:U12)&lt;=$S$13,INDEX('QUESTIONS TRANSVERSALES'!$C$5:$C$16,SMALL(IF(crossstage=1,IF(crossstatus=1,ROW(crossstatus)-ROW('QUESTIONS TRANSVERSALES'!$E$5)+1)),ROWS(U$11:U12))),"")</f>
        <v>Les consultations des acteurs ont eu lieu dans les 3 dernières années</v>
      </c>
      <c r="Z12" s="90"/>
    </row>
    <row r="13" spans="1:26" s="15" customFormat="1" ht="96.6">
      <c r="A13" s="46">
        <f>SUMPRODUCT((STAGE=1)*(STATUS=1))</f>
        <v>7</v>
      </c>
      <c r="B13" s="178" t="str">
        <f t="array" ref="B13">IF(ROWS(B$11:B13)&lt;=$A$12,INDEX(LÉGISLATION!$C$5:$C$19,SMALL(IF(STAGE=1,IF(STATUS=0,ROW(STATUS)-ROW(LÉGISLATION!$E$5)+1)),ROWS(B$11:B13))),"")</f>
        <v/>
      </c>
      <c r="C13" s="173" t="str">
        <f t="array" ref="C13">IF(ROWS(C$11:C13)&lt;=$A$13,INDEX(LÉGISLATION!$C$5:$C$19,SMALL(IF(STAGE=1,IF(STATUS=1,ROW(STATUS)-ROW(LÉGISLATION!$E$5)+1)),ROWS(C$11:C13))),"")</f>
        <v>Il existe un système juridique en matière de la prévention et du contrôle de la rage</v>
      </c>
      <c r="D13" s="188">
        <f>SUMPRODUCT((datastage=1)*(datastatus=1))</f>
        <v>4</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La capacité d'analyse des données sur les cas de rage canine au niveau national est introduite</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0</v>
      </c>
      <c r="K13" s="178" t="str">
        <f t="array" ref="K13">IF(ROWS(K$11:K13)&lt;=$J$12,INDEX('INFORMATION, ÉDUCTION ET LA COM'!$C$5:$C$21,SMALL(IF(iecstage=1,IF(iecstatus=0,ROW(iecstatus)-ROW('INFORMATION, ÉDUCTION ET LA COM'!$E$5)+1)),ROWS(K$11:K13))),"")</f>
        <v>Un plan de communication de la rage a été développé pour les publics cibles des communautés, professionnels et de plaidoyer</v>
      </c>
      <c r="L13" s="173" t="str">
        <f t="array" ref="L13">IF(ROWS(L$11:L13)&lt;=$J$13,INDEX('INFORMATION, ÉDUCTION ET LA COM'!$C$5:$C$21,SMALL(IF(iecstage=1,IF(iecstatus=1,ROW(iecstatus)-ROW('INFORMATION, ÉDUCTION ET LA COM'!$E$5)+1)),ROWS(L$11:L13))),"")</f>
        <v/>
      </c>
      <c r="M13" s="179">
        <f>SUMPRODUCT((prevstage=1)*(prevstatus=1))</f>
        <v>2</v>
      </c>
      <c r="N13" s="176" t="str">
        <f t="array" ref="N13">IF(ROWS(N$11:N13)&lt;=$M$12,INDEX('PRÉVENTION ET DE CONTRÔLE'!$C$5:$C$29,SMALL(IF(prevstage=1,IF(prevstatus=0,ROW(prevstatus)-ROW('PRÉVENTION ET DE CONTRÔLE'!$E$5)+1)),ROWS(N$11:N13))),"")</f>
        <v>Autres activités de contrôle de la rage tels que IBCM (Integrated Bite Case Management; Gestion intégrée de cas de morsure), la gestion de la population canine ont été mises en œuvre (au moins dans les zones pilotes)</v>
      </c>
      <c r="O13" s="177" t="str">
        <f t="array" ref="O13">IF(ROWS(O$11:O13)&lt;=$M$13,INDEX('PRÉVENTION ET DE CONTRÔLE'!$C$5:$C$29,SMALL(IF(prevstage=1,IF(prevstatus=1,ROW(prevstatus)-ROW('PRÉVENTION ET DE CONTRÔLE'!$E$5)+1)),ROWS(O$11:O13))),"")</f>
        <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3</v>
      </c>
      <c r="T13" s="176" t="str">
        <f t="array" ref="T13">IF(ROWS(T$11:T13)&lt;=$S$12,INDEX('QUESTIONS TRANSVERSALES'!$C$5:$C$16,SMALL(IF(crossstage=1,IF(crossstatus=0,ROW(crossstatus)-ROW('QUESTIONS TRANSVERSALES'!$E$5)+1)),ROWS(T$11:T13))),"")</f>
        <v/>
      </c>
      <c r="U13" s="177" t="str">
        <f t="array" ref="U13">IF(ROWS(U$11:U13)&lt;=$S$13,INDEX('QUESTIONS TRANSVERSALES'!$C$5:$C$16,SMALL(IF(crossstage=1,IF(crossstatus=1,ROW(crossstatus)-ROW('QUESTIONS TRANSVERSALES'!$E$5)+1)),ROWS(U$11:U13))),"")</f>
        <v>Un groupe de travail intersectoriel ou un comité au niveau local ou national a été créé et se réunit au moins deux fois par an</v>
      </c>
      <c r="Z13" s="90"/>
    </row>
    <row r="14" spans="1:26" s="15" customFormat="1" ht="69">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La rage animale est une maladie à déclaration obligatoire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La capacité d'analyse des données sur les cas de rage humaine au niveau national est introduite</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Education sur la prévention et le contrôle des communautés, y compris la prévention et la gestion des morsures de chien morsure de chien rage ont été explorées</v>
      </c>
      <c r="L14" s="173" t="str">
        <f t="array" ref="L14">IF(ROWS(L$11:L14)&lt;=$J$13,INDEX('INFORMATION, ÉDUCTION ET LA COM'!$C$5:$C$21,SMALL(IF(iecstage=1,IF(iecstatus=1,ROW(iecstatus)-ROW('INFORMATION, ÉDUCTION ET LA COM'!$E$5)+1)),ROWS(L$11:L14))),"")</f>
        <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
      </c>
      <c r="Z14" s="90"/>
    </row>
    <row r="15" spans="1:26" s="15" customFormat="1" ht="55.2">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rage humaine est une maladie à déclaration obligatoire</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Des formations ou des cours de mis à niveau sur la rage pour les professionnels de la santé humaine et animale ont été initiés</v>
      </c>
      <c r="L15" s="173" t="str">
        <f t="array" ref="L15">IF(ROWS(L$11:L15)&lt;=$J$13,INDEX('INFORMATION, ÉDUCTION ET LA COM'!$C$5:$C$21,SMALL(IF(iecstage=1,IF(iecstatus=1,ROW(iecstatus)-ROW('INFORMATION, ÉDUCTION ET LA COM'!$E$5)+1)),ROWS(L$11:L15))),"")</f>
        <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69">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législation comprend la vaccination obligatoire des chiens contre la rage, ou au moins propose la vaccination si la législation n’existe pas</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ht="41.4">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La législation comprend des mesures d’intervention concernant une épidémie</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82.8">
      <c r="A20" s="53">
        <v>2</v>
      </c>
      <c r="B20" s="165" t="str">
        <f t="array" ref="B20">IF(ROWS(B$20:B20)&lt;=$A$21,INDEX(LÉGISLATION!$C$5:$C$19,SMALL(IF(STAGE=2,IF(STATUS=0,ROW(STATUS)-ROW(LÉGISLATION!$E$5)+1)),ROWS(B$20:B20))),"")</f>
        <v/>
      </c>
      <c r="C20" s="166" t="str">
        <f t="array" ref="C20">IF(ROWS(C$20:C20)&lt;=$A$22,INDEX(LÉGISLATION!$C$5:$C$19,SMALL(IF(STAGE=2,IF(STATUS=1,ROW(STATUS)-ROW(LÉGISLATION!$E$5)+1)),ROWS(C$20:C20))),"")</f>
        <v>La définition de cas de rage animale a été examinée et approuvée (approche intersectorielle)</v>
      </c>
      <c r="D20" s="167"/>
      <c r="E20" s="165" t="str">
        <f t="array" ref="E20">IF(ROWS(E$20:E20)&lt;=$D$21,INDEX('COLLECTE DE DONNÉES ET ANALYSE'!$C$5:$C$22,SMALL(IF(datastage=2,IF(datastatus=0,ROW(datastatus)-ROW('COLLECTE DE DONNÉES ET ANALYSE'!$E$5)+1)),ROWS(E$20:E20))),"")</f>
        <v/>
      </c>
      <c r="F20" s="166" t="str">
        <f t="array" ref="F20">IF(ROWS(F$20:F20)&lt;=$D$22,INDEX('COLLECTE DE DONNÉES ET ANALYSE'!$C$5:$C$22,SMALL(IF(datastage=2,IF(datastatus=1,ROW(datastatus)-ROW('COLLECTE DE DONNÉES ET ANALYSE'!$E$5)+1)),ROWS(F$20:F20))),"")</f>
        <v>Mise en place de systèmes de surveillance de rage humaine et animale associés, y compris des SOPs (Modes opératoires standardisés)</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Des informations sur l'épidémiologie de la rage sont régulièrement partagées avec toutes les parties prenantes</v>
      </c>
      <c r="L20" s="166" t="str">
        <f t="array" ref="L20">IF(ROWS(L$20:L20)&lt;=$J$22,INDEX('INFORMATION, ÉDUCTION ET LA COM'!$C$5:$C$21,SMALL(IF(iecstage=2,IF(iecstatus=1,ROW(iecstatus)-ROW('INFORMATION, ÉDUCTION ET LA COM'!$E$5)+1)),ROWS(L$20:L20))),"")</f>
        <v/>
      </c>
      <c r="M20" s="171"/>
      <c r="N20" s="169" t="str">
        <f t="array" ref="N20">IF(ROWS(N$20:N20)&lt;=$M$21,INDEX('PRÉVENTION ET DE CONTRÔLE'!$C$5:$C$29,SMALL(IF(prevstage=2,IF(prevstatus=0,ROW(prevstatus)-ROW('PRÉVENTION ET DE CONTRÔLE'!$E$5)+1)),ROWS(N$20:N20))),"")</f>
        <v xml:space="preserve">L’approvisionnement et l’accès des vaccins antirabiques humains, pré-qualifiés par l’OMS pour la PrEP (Prophylaxie Pré-Exposition), est assuré pour les professionnels à risque dans les zones pilotes </v>
      </c>
      <c r="O20" s="170" t="str">
        <f t="array" ref="O20">IF(ROWS(O$20:O20)&lt;=$M$22,INDEX('PRÉVENTION ET DE CONTRÔLE'!$C$5:$C$29,SMALL(IF(prevstage=2,IF(prevstatus=1,ROW(prevstatus)-ROW('PRÉVENTION ET DE CONTRÔLE'!$E$5)+1)),ROWS(O$20:O20))),"")</f>
        <v>Des vaccins antirabiques humains pré-qualifiés par l'OMS sont disponibles et accessibles dans la majorité des régions du pays</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Des mécanismes de collaboration intersectorielle régulière sont en place et ont été réalisés</v>
      </c>
      <c r="U20" s="170" t="str">
        <f t="array" ref="U20">IF(ROWS(U$20:U20)&lt;=$S$22,INDEX('QUESTIONS TRANSVERSALES'!$C$5:$C$16,SMALL(IF(crossstage=2,IF(crossstatus=1,ROW(crossstatus)-ROW('QUESTIONS TRANSVERSALES'!$E$5)+1)),ROWS(U$20:U20))),"")</f>
        <v/>
      </c>
      <c r="Z20" s="90"/>
    </row>
    <row r="21" spans="1:26" s="15" customFormat="1" ht="82.8">
      <c r="A21" s="46">
        <f>SUMPRODUCT((STAGE=2)*(STATUS=0))</f>
        <v>0</v>
      </c>
      <c r="B21" s="178" t="str">
        <f t="array" ref="B21">IF(ROWS(B$20:B21)&lt;=$A$21,INDEX(LÉGISLATION!$C$5:$C$19,SMALL(IF(STAGE=2,IF(STATUS=0,ROW(STATUS)-ROW(LÉGISLATION!$E$5)+1)),ROWS(B$20:B21))),"")</f>
        <v/>
      </c>
      <c r="C21" s="173" t="str">
        <f t="array" ref="C21">IF(ROWS(C$20:C21)&lt;=$A$22,INDEX(LÉGISLATION!$C$5:$C$19,SMALL(IF(STAGE=2,IF(STATUS=1,ROW(STATUS)-ROW(LÉGISLATION!$E$5)+1)),ROWS(C$20:C21))),"")</f>
        <v>La définition de cas de rage humaine a été examinée et approuvée (approche intersectorielle)</v>
      </c>
      <c r="D21" s="174">
        <f>SUMPRODUCT((datastage=2)*(datastatus=0))</f>
        <v>0</v>
      </c>
      <c r="E21" s="178" t="str">
        <f t="array" ref="E21">IF(ROWS(E$20:E21)&lt;=$D$21,INDEX('COLLECTE DE DONNÉES ET ANALYSE'!$C$5:$C$22,SMALL(IF(datastage=2,IF(datastatus=0,ROW(datastatus)-ROW('COLLECTE DE DONNÉES ET ANALYSE'!$E$5)+1)),ROWS(E$20:E21))),"")</f>
        <v/>
      </c>
      <c r="F21" s="173" t="str">
        <f t="array" ref="F21">IF(ROWS(F$20:F21)&lt;=$D$22,INDEX('COLLECTE DE DONNÉES ET ANALYSE'!$C$5:$C$22,SMALL(IF(datastage=2,IF(datastatus=1,ROW(datastatus)-ROW('COLLECTE DE DONNÉES ET ANALYSE'!$E$5)+1)),ROWS(F$20:F21))),"")</f>
        <v>Des systèmes de surveillance de rage humaine, y compris des mécanismes de rétroaction, sont coordonnés entre les niveaux administratifs (national, province, district, municipal, etc.)</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5</v>
      </c>
      <c r="K21" s="178" t="str">
        <f t="array" ref="K21">IF(ROWS(K$20:K21)&lt;=$J$21,INDEX('INFORMATION, ÉDUCTION ET LA COM'!$C$5:$C$21,SMALL(IF(iecstage=2,IF(iecstatus=0,ROW(iecstatus)-ROW('INFORMATION, ÉDUCTION ET LA COM'!$E$5)+1)),ROWS(K$20:K21))),"")</f>
        <v>Le plan de communication de la rage a été examiné et mis à jour</v>
      </c>
      <c r="L21" s="173" t="str">
        <f t="array" ref="L21">IF(ROWS(L$20:L21)&lt;=$J$22,INDEX('INFORMATION, ÉDUCTION ET LA COM'!$C$5:$C$21,SMALL(IF(iecstage=2,IF(iecstatus=1,ROW(iecstatus)-ROW('INFORMATION, ÉDUCTION ET LA COM'!$E$5)+1)),ROWS(L$20:L21))),"")</f>
        <v/>
      </c>
      <c r="M21" s="179">
        <f>SUMPRODUCT((prevstage=2)*(prevstatus=0))</f>
        <v>4</v>
      </c>
      <c r="N21" s="176" t="str">
        <f t="array" ref="N21">IF(ROWS(N$20:N21)&lt;=$M$21,INDEX('PRÉVENTION ET DE CONTRÔLE'!$C$5:$C$29,SMALL(IF(prevstage=2,IF(prevstatus=0,ROW(prevstatus)-ROW('PRÉVENTION ET DE CONTRÔLE'!$E$5)+1)),ROWS(N$20:N21))),"")</f>
        <v>Des campagnes de vaccination des chiens sont régulièrement mises en œuvre, en réponse aux cas humains et aux épidémies animales</v>
      </c>
      <c r="O21" s="177" t="str">
        <f t="array" ref="O21">IF(ROWS(O$20:O21)&lt;=$M$22,INDEX('PRÉVENTION ET DE CONTRÔLE'!$C$5:$C$29,SMALL(IF(prevstage=2,IF(prevstatus=1,ROW(prevstatus)-ROW('PRÉVENTION ET DE CONTRÔLE'!$E$5)+1)),ROWS(O$20:O21))),"")</f>
        <v>L’utilisation des produits biologiques humains non pré-qualifiés par l'OMS est abandonné (par exemple des vaccins de tissu nerveux, des vaccins de mauvaise qualité)</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4</v>
      </c>
      <c r="T21" s="176" t="str">
        <f t="array" ref="T21">IF(ROWS(T$20:T21)&lt;=$S$21,INDEX('QUESTIONS TRANSVERSALES'!$C$5:$C$16,SMALL(IF(crossstage=2,IF(crossstatus=0,ROW(crossstatus)-ROW('QUESTIONS TRANSVERSALES'!$E$5)+1)),ROWS(T$20:T21))),"")</f>
        <v>La contribution et le rôle du secteur privé a été clarifié et partagé avec d'autres parties prenantes</v>
      </c>
      <c r="U21" s="177" t="str">
        <f t="array" ref="U21">IF(ROWS(U$20:U21)&lt;=$S$22,INDEX('QUESTIONS TRANSVERSALES'!$C$5:$C$16,SMALL(IF(crossstage=2,IF(crossstatus=1,ROW(crossstatus)-ROW('QUESTIONS TRANSVERSALES'!$E$5)+1)),ROWS(U$20:U21))),"")</f>
        <v/>
      </c>
      <c r="Z21" s="90"/>
    </row>
    <row r="22" spans="1:26" s="15" customFormat="1" ht="82.8">
      <c r="A22" s="46">
        <f>SUMPRODUCT((STAGE=2)*(STATUS=1))</f>
        <v>3</v>
      </c>
      <c r="B22" s="178" t="str">
        <f t="array" ref="B22">IF(ROWS(B$20:B22)&lt;=$A$21,INDEX(LÉGISLATION!$C$5:$C$19,SMALL(IF(STAGE=2,IF(STATUS=0,ROW(STATUS)-ROW(LÉGISLATION!$E$5)+1)),ROWS(B$20:B22))),"")</f>
        <v/>
      </c>
      <c r="C22" s="173" t="str">
        <f t="array" ref="C22">IF(ROWS(C$20:C22)&lt;=$A$22,INDEX(LÉGISLATION!$C$5:$C$19,SMALL(IF(STAGE=2,IF(STATUS=1,ROW(STATUS)-ROW(LÉGISLATION!$E$5)+1)),ROWS(C$20:C22))),"")</f>
        <v>Les cadres juridiques avec des spécifications relatives à la vaccination obligatoire des chiens et le mouvement international des animaux ont été mis à jour</v>
      </c>
      <c r="D22" s="174">
        <f>SUMPRODUCT((datastage=2)*(datastatus=1))</f>
        <v>4</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Des systèmes de surveillance de rage animale, y compris des mécanismes de rétroaction, sont coordonnés entre les niveaux administratifs (national, province, district, municipal, etc.)</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0</v>
      </c>
      <c r="K22" s="178" t="str">
        <f t="array" ref="K22">IF(ROWS(K$20:K22)&lt;=$J$21,INDEX('INFORMATION, ÉDUCTION ET LA COM'!$C$5:$C$21,SMALL(IF(iecstage=2,IF(iecstatus=0,ROW(iecstatus)-ROW('INFORMATION, ÉDUCTION ET LA COM'!$E$5)+1)),ROWS(K$20:K22))),"")</f>
        <v>Des campagnes de sensibilisation à la rage, y compris des formations sur la possession responsable de chiens,  ont été étendues à plusieurs zones</v>
      </c>
      <c r="L22" s="173" t="str">
        <f t="array" ref="L22">IF(ROWS(L$20:L22)&lt;=$J$22,INDEX('INFORMATION, ÉDUCTION ET LA COM'!$C$5:$C$21,SMALL(IF(iecstage=2,IF(iecstatus=1,ROW(iecstatus)-ROW('INFORMATION, ÉDUCTION ET LA COM'!$E$5)+1)),ROWS(L$20:L22))),"")</f>
        <v/>
      </c>
      <c r="M22" s="179">
        <f>SUMPRODUCT((prevstage=2)*(prevstatus=1))</f>
        <v>3</v>
      </c>
      <c r="N22" s="176" t="str">
        <f t="array" ref="N22">IF(ROWS(N$20:N22)&lt;=$M$21,INDEX('PRÉVENTION ET DE CONTRÔLE'!$C$5:$C$29,SMALL(IF(prevstage=2,IF(prevstatus=0,ROW(prevstatus)-ROW('PRÉVENTION ET DE CONTRÔLE'!$E$5)+1)),ROWS(N$20:N22))),"")</f>
        <v>Des SOPs (Modes opératoires standardisés) de l’IBCM (Integrated Bite Case Management; Gestion intégrée de cas de morsure) sont conclus, y compris le partage d’informations entre les secteurs</v>
      </c>
      <c r="O22" s="177" t="str">
        <f t="array" ref="O22">IF(ROWS(O$20:O22)&lt;=$M$22,INDEX('PRÉVENTION ET DE CONTRÔLE'!$C$5:$C$29,SMALL(IF(prevstage=2,IF(prevstatus=1,ROW(prevstatus)-ROW('PRÉVENTION ET DE CONTRÔLE'!$E$5)+1)),ROWS(O$20:O22))),"")</f>
        <v>Seuls des vaccins canins de qualité selon les standards l’OIE sont utilisées</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0</v>
      </c>
      <c r="T22" s="176" t="str">
        <f t="array" ref="T22">IF(ROWS(T$20:T22)&lt;=$S$21,INDEX('QUESTIONS TRANSVERSALES'!$C$5:$C$16,SMALL(IF(crossstage=2,IF(crossstatus=0,ROW(crossstatus)-ROW('QUESTIONS TRANSVERSALES'!$E$5)+1)),ROWS(T$20:T22))),"")</f>
        <v>Une stratégie nationale et un programme de prévention de rage, de contrôle et d'élimination éventuelle ont été rédigés et partagés avec toutes les parties prenantes</v>
      </c>
      <c r="U22" s="177" t="str">
        <f t="array" ref="U22">IF(ROWS(U$20:U22)&lt;=$S$22,INDEX('QUESTIONS TRANSVERSALES'!$C$5:$C$16,SMALL(IF(crossstage=2,IF(crossstatus=1,ROW(crossstatus)-ROW('QUESTIONS TRANSVERSALES'!$E$5)+1)),ROWS(U$20:U22))),"")</f>
        <v/>
      </c>
      <c r="Z22" s="90"/>
    </row>
    <row r="23" spans="1:26" s="15" customFormat="1" ht="110.4">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Des informations sur l'épidémiologie de la rage sont régulièrement partagées avec toutes les parties prenantes</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Des campagnes de sensibilisation de la population ont été adaptées aux groupes cibles spécifiques (par exemple les leaders de la communauté, les autorités, les professionnels de la santé et les activistes de la journée mondiale de la rage)</v>
      </c>
      <c r="L23" s="173" t="str">
        <f t="array" ref="L23">IF(ROWS(L$20:L23)&lt;=$J$22,INDEX('INFORMATION, ÉDUCTION ET LA COM'!$C$5:$C$21,SMALL(IF(iecstage=2,IF(iecstatus=1,ROW(iecstatus)-ROW('INFORMATION, ÉDUCTION ET LA COM'!$E$5)+1)),ROWS(L$20:L23))),"")</f>
        <v/>
      </c>
      <c r="M23" s="179"/>
      <c r="N23" s="176" t="str">
        <f t="array" ref="N23">IF(ROWS(N$20:N23)&lt;=$M$21,INDEX('PRÉVENTION ET DE CONTRÔLE'!$C$5:$C$29,SMALL(IF(prevstage=2,IF(prevstatus=0,ROW(prevstatus)-ROW('PRÉVENTION ET DE CONTRÔLE'!$E$5)+1)),ROWS(N$20:N23))),"")</f>
        <v>Des SOPs (Modes opératoires standardisés) pour l'observation des chiens responsables d’incidents des morsures sont disponibles</v>
      </c>
      <c r="O23" s="177" t="str">
        <f t="array" ref="O23">IF(ROWS(O$20:O23)&lt;=$M$22,INDEX('PRÉVENTION ET DE CONTRÔLE'!$C$5:$C$29,SMALL(IF(prevstage=2,IF(prevstatus=1,ROW(prevstatus)-ROW('PRÉVENTION ET DE CONTRÔLE'!$E$5)+1)),ROWS(O$20:O23))),"")</f>
        <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Pour favoriser la stratégie et le programme nationaux de lutte contre la rage, les ressources du gouvernement ont été identifiées et allouées</v>
      </c>
      <c r="U23" s="177" t="str">
        <f t="array" ref="U23">IF(ROWS(U$20:U23)&lt;=$S$22,INDEX('QUESTIONS TRANSVERSALES'!$C$5:$C$16,SMALL(IF(crossstage=2,IF(crossstatus=1,ROW(crossstatus)-ROW('QUESTIONS TRANSVERSALES'!$E$5)+1)),ROWS(U$20:U23))),"")</f>
        <v/>
      </c>
      <c r="Z23" s="93"/>
    </row>
    <row r="24" spans="1:26" s="15" customFormat="1" ht="55.2">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Des formations pour le personnel de la santé humaine et animale ont été réalisées dans la plupart des régions du pays</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
      </c>
      <c r="O24" s="177" t="str">
        <f t="array" ref="O24">IF(ROWS(O$20:O24)&lt;=$M$22,INDEX('PRÉVENTION ET DE CONTRÔLE'!$C$5:$C$29,SMALL(IF(prevstage=2,IF(prevstatus=1,ROW(prevstatus)-ROW('PRÉVENTION ET DE CONTRÔLE'!$E$5)+1)),ROWS(O$20:O24))),"")</f>
        <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82.8">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Initiation de la collection des données économiques de la santé locale et nationale concernant le contrôle de rage, afin de favoriser les arguments au profit des investissements de la lutte contre la rage</v>
      </c>
      <c r="F29" s="166" t="str">
        <f t="array" ref="F29">IF(ROWS(F$29:F29)&lt;=$D$31,INDEX('COLLECTE DE DONNÉES ET ANALYSE'!$C$5:$C$22,SMALL(IF(datastage=3,IF(datastatus=1,ROW(datastatus)-ROW('COLLECTE DE DONNÉES ET ANALYSE'!$E$5)+1)),ROWS(F$29:F29))),"")</f>
        <v>Des enquêtes sur tous les cas suspects de rage humaine sont effectuées sur le terrain</v>
      </c>
      <c r="G29" s="168"/>
      <c r="H29" s="169" t="str">
        <f t="array" ref="H29">IF(ROWS(H$29:H29)&lt;=$G$30,INDEX('DIAGNOSTIC DE LABORATOIRE'!$C$5:$C$15,SMALL(IF(labstage=3,IF(labstatus=0,ROW(labstatus)-ROW('DIAGNOSTIC DE LABORATOIRE'!$E$5)+1)),ROWS(H$29:H29))),"")</f>
        <v>La caractérisation et l'analyse des variantes et de la circulation du virus rabique sont effectuées régulièrement par un laboratoire national ou international</v>
      </c>
      <c r="I29" s="170" t="str">
        <f t="array" ref="I29">IF(ROWS(I$29:I29)&lt;=$G$31,INDEX('DIAGNOSTIC DE LABORATOIRE'!$C$5:$C$15,SMALL(IF(labstage=3,IF(labstatus=1,ROW(labstatus)-ROW('DIAGNOSTIC DE LABORATOIRE'!$F$5)+1)),ROWS(I$29:I29))),"")</f>
        <v>L'accès au diagnostic de laboratoire pour les échantillons d'animaux (et si possible aussi pour les échantillons humains) est possible dans tout le pays</v>
      </c>
      <c r="J29" s="168"/>
      <c r="K29" s="165" t="str">
        <f t="array" ref="K29">IF(ROWS(K$29:K29)&lt;=$J$30,INDEX('INFORMATION, ÉDUCTION ET LA COM'!$C$5:$C$21,SMALL(IF(iecstage=3,IF(iecstatus=0,ROW(iecstatus)-ROW('INFORMATION, ÉDUCTION ET LA COM'!$E$5)+1)),ROWS(K$29:K29))),"")</f>
        <v>Le plan de communication sur l’élimination de la rage est mise en œuvre</v>
      </c>
      <c r="L29" s="166" t="str">
        <f t="array" ref="L29">IF(ROWS(L$29:L29)&lt;=$J$31,INDEX('INFORMATION, ÉDUCTION ET LA COM'!$C$5:$C$21,SMALL(IF(iecstage=3,IF(iecstatus=1,ROW(iecstatus)-ROW('INFORMATION, ÉDUCTION ET LA COM'!$E$5)+1)),ROWS(L$29:L29))),"")</f>
        <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69">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2</v>
      </c>
      <c r="E30" s="178" t="str">
        <f t="array" ref="E30">IF(ROWS(E$29:E30)&lt;=$D$30,INDEX('COLLECTE DE DONNÉES ET ANALYSE'!$C$5:$C$22,SMALL(IF(datastage=3,IF(datastatus=0,ROW(datastatus)-ROW('COLLECTE DE DONNÉES ET ANALYSE'!$E$5)+1)),ROWS(E$29:E30))),"")</f>
        <v>Expand health economic studies to support further prioritization within the national rabies control programme</v>
      </c>
      <c r="F30" s="173" t="str">
        <f t="array" ref="F30">IF(ROWS(F$29:F30)&lt;=$D$31,INDEX('COLLECTE DE DONNÉES ET ANALYSE'!$C$5:$C$22,SMALL(IF(datastage=3,IF(datastatus=1,ROW(datastatus)-ROW('COLLECTE DE DONNÉES ET ANALYSE'!$E$5)+1)),ROWS(F$29:F30))),"")</f>
        <v>Des preuves épidémiologiques sont disponibles pour l’exclusion des cas de rage humain causés par les chiens</v>
      </c>
      <c r="G30" s="175">
        <f>SUMPRODUCT((labstage=3)*(labstatus=0))</f>
        <v>1</v>
      </c>
      <c r="H30" s="176" t="str">
        <f t="array" ref="H30">IF(ROWS(H$29:H30)&lt;=$G$30,INDEX('DIAGNOSTIC DE LABORATOIRE'!$C$5:$C$15,SMALL(IF(labstage=3,IF(labstatus=0,ROW(labstatus)-ROW('DIAGNOSTIC DE LABORATOIRE'!$E$5)+1)),ROWS(H$29:H30))),"")</f>
        <v/>
      </c>
      <c r="I30" s="177" t="str">
        <f t="array" ref="I30">IF(ROWS(I$29:I30)&lt;=$G$31,INDEX('DIAGNOSTIC DE LABORATOIRE'!$C$5:$C$15,SMALL(IF(labstage=3,IF(labstatus=1,ROW(labstatus)-ROW('DIAGNOSTIC DE LABORATOIRE'!$F$5)+1)),ROWS(I$29:I30))),"")</f>
        <v/>
      </c>
      <c r="J30" s="175">
        <f>SUMPRODUCT((iecstage=3)*(iecstatus=0))</f>
        <v>4</v>
      </c>
      <c r="K30" s="178" t="str">
        <f t="array" ref="K30">IF(ROWS(K$29:K30)&lt;=$J$30,INDEX('INFORMATION, ÉDUCTION ET LA COM'!$C$5:$C$21,SMALL(IF(iecstage=3,IF(iecstatus=0,ROW(iecstatus)-ROW('INFORMATION, ÉDUCTION ET LA COM'!$E$5)+1)),ROWS(K$29:K30))),"")</f>
        <v>Déclaration et publication des zones exemptes de rage canine</v>
      </c>
      <c r="L30" s="173" t="str">
        <f t="array" ref="L30">IF(ROWS(L$29:L30)&lt;=$J$31,INDEX('INFORMATION, ÉDUCTION ET LA COM'!$C$5:$C$21,SMALL(IF(iecstage=3,IF(iecstatus=1,ROW(iecstatus)-ROW('INFORMATION, ÉDUCTION ET LA COM'!$E$5)+1)),ROWS(L$29:L30))),"")</f>
        <v/>
      </c>
      <c r="M30" s="179">
        <f>SUMPRODUCT((prevstage=3)*(prevstatus=0))</f>
        <v>6</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55.2">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3</v>
      </c>
      <c r="E31" s="178" t="str">
        <f t="array" ref="E31">IF(ROWS(E$29:E31)&lt;=$D$30,INDEX('COLLECTE DE DONNÉES ET ANALYSE'!$C$5:$C$22,SMALL(IF(datastage=3,IF(datastatus=0,ROW(datastatus)-ROW('COLLECTE DE DONNÉES ET ANALYSE'!$E$5)+1)),ROWS(E$29:E31))),"")</f>
        <v/>
      </c>
      <c r="F31" s="173" t="str">
        <f t="array" ref="F31">IF(ROWS(F$29:F31)&lt;=$D$31,INDEX('COLLECTE DE DONNÉES ET ANALYSE'!$C$5:$C$22,SMALL(IF(datastage=3,IF(datastatus=1,ROW(datastatus)-ROW('COLLECTE DE DONNÉES ET ANALYSE'!$E$5)+1)),ROWS(F$29:F31))),"")</f>
        <v>Des analyses et  confirmations en laboratoire concernant les épidémies de rage suspectes dans la population canine sont effectuées sur le terrain</v>
      </c>
      <c r="G31" s="175">
        <f>SUMPRODUCT((labstage=3)*(labstatus=1))</f>
        <v>1</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0</v>
      </c>
      <c r="K31" s="178" t="str">
        <f t="array" ref="K31">IF(ROWS(K$29:K31)&lt;=$J$30,INDEX('INFORMATION, ÉDUCTION ET LA COM'!$C$5:$C$21,SMALL(IF(iecstage=3,IF(iecstatus=0,ROW(iecstatus)-ROW('INFORMATION, ÉDUCTION ET LA COM'!$E$5)+1)),ROWS(K$29:K31))),"")</f>
        <v>Promouvoir une attitude responsable des propriétaires de chiens, accompagné par des campagnes de sensibilisation de la rage</v>
      </c>
      <c r="L31" s="173" t="str">
        <f t="array" ref="L31">IF(ROWS(L$29:L31)&lt;=$J$31,INDEX('INFORMATION, ÉDUCTION ET LA COM'!$C$5:$C$21,SMALL(IF(iecstage=3,IF(iecstatus=1,ROW(iecstatus)-ROW('INFORMATION, ÉDUCTION ET LA COM'!$E$5)+1)),ROWS(L$29:L31))),"")</f>
        <v/>
      </c>
      <c r="M31" s="179">
        <f>SUMPRODUCT((prevstage=3)*(prevstatus=1))</f>
        <v>0</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55.2">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Renforcement des campagnes de sensibilisation publiques des leaders et autorités pour appuyer la vaccination des chiens</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La capacité à mener des enquêtes de terrain et à répondre aux épidémies de rage animale et humaine à temps est présente dans tout le pays</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69">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Suffisamment d’installations pour les observations des chiens suspects de  rage existent, et elles sont conformes aux réglementations internationales de protection des animaux</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ht="55.2">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Identification des zones exemptes de rage par l'absence de cas de rage (variante canine) pendant au moins une période de 2 ans</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82.8">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
      </c>
      <c r="F38" s="166" t="str">
        <f t="array" ref="F38">IF(ROWS(F$38:F38)&lt;=$D$40,INDEX('COLLECTE DE DONNÉES ET ANALYSE'!$C$5:$C$22,SMALL(IF(datastage=4,IF(datastatus=1,ROW(datastatus)-ROW('COLLECTE DE DONNÉES ET ANALYSE'!$E$5)+1)),ROWS(F$38:F38))),"")</f>
        <v>Maintien des activités de surveillance existantes dans le pays de tous les cas suspects de rage humain</v>
      </c>
      <c r="G38" s="168"/>
      <c r="H38" s="169" t="str">
        <f t="array" ref="H38">IF(ROWS(H$38:H38)&lt;=$G$39,INDEX('DIAGNOSTIC DE LABORATOIRE'!$C$5:$C$15,SMALL(IF(labstage=4,IF(labstatus=0,ROW(labstatus)-ROW('DIAGNOSTIC DE LABORATOIRE'!$E$5)+1)),ROWS(H$38:H38))),"")</f>
        <v>Les données épidémiologiques de la surveillance systématique de tous les animaux (les animaux de travail, le bétail et les animaux sauvage) sont utilisées pour améliorer la stratégie nationale de lutte contre la rage</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
      </c>
      <c r="M38" s="171"/>
      <c r="N38" s="169" t="str">
        <f t="array" ref="N38">IF(ROWS(N$38:N38)&lt;=$M$39,INDEX('PRÉVENTION ET DE CONTRÔLE'!$C$5:$C$29,SMALL(IF(prevstage=4,IF(prevstatus=0,ROW(prevstatus)-ROW('PRÉVENTION ET DE CONTRÔLE'!$E$5)+1)),ROWS(N$38:N38))),"")</f>
        <v>Des campagnes de vaccination de chiens sont maintenues dans les zones où la rage canine est toujours présente, et où cela est justifié autrement (par exemple par le risque d'introduction)</v>
      </c>
      <c r="O38" s="170" t="str">
        <f t="array" ref="O38">IF(ROWS(O$38:O38)&lt;=$M$40,INDEX('PRÉVENTION ET DE CONTRÔLE'!$C$5:$C$29,SMALL(IF(prevstage=4,IF(prevstatus=1,ROW(prevstatus)-ROW('PRÉVENTION ET DE CONTRÔLE'!$E$5)+1)),ROWS(O$38:O38))),"")</f>
        <v>Prendre des mesures pour la prévention de la réintroduction de la rage dans les zones exemptes de rage, y compris le dialogue avec les pays voisins.</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82.8">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0</v>
      </c>
      <c r="E39" s="178" t="str">
        <f t="array" ref="E39">IF(ROWS(E$38:E39)&lt;=$D$39,INDEX('COLLECTE DE DONNÉES ET ANALYSE'!$C$5:$C$22,SMALL(IF(datastage=4,IF(datastatus=0,ROW(datastatus)-ROW('COLLECTE DE DONNÉES ET ANALYSE'!$E$5)+1)),ROWS(E$38:E39))),"")</f>
        <v/>
      </c>
      <c r="F39" s="173" t="str">
        <f t="array" ref="F39">IF(ROWS(F$38:F39)&lt;=$D$40,INDEX('COLLECTE DE DONNÉES ET ANALYSE'!$C$5:$C$22,SMALL(IF(datastage=4,IF(datastatus=1,ROW(datastatus)-ROW('COLLECTE DE DONNÉES ET ANALYSE'!$E$5)+1)),ROWS(F$38:F39))),"")</f>
        <v>Les données épidémiologiques de la surveillance systématique de tous les animaux (les animaux de travail, le bétail et les animaux sauvage) sont utilisées pour améliorer la stratégie nationale de lutte contre la rage</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2</v>
      </c>
      <c r="K39" s="178" t="str">
        <f t="array" ref="K39">IF(ROWS(K$38:K39)&lt;=$J$39,INDEX('INFORMATION, ÉDUCTION ET LA COM'!$C$5:$C$21,SMALL(IF(iecstage=4,IF(iecstatus=0,ROW(iecstatus)-ROW('INFORMATION, ÉDUCTION ET LA COM'!$E$5)+1)),ROWS(K$38:K39))),"")</f>
        <v>Les programmes de sensibilisation sont axés sur le maintien de la liberté de la rage canine et la rage humaine transmise par les chiens</v>
      </c>
      <c r="L39" s="173" t="str">
        <f t="array" ref="L39">IF(ROWS(L$38:L39)&lt;=$J$40,INDEX('INFORMATION, ÉDUCTION ET LA COM'!$C$5:$C$21,SMALL(IF(iecstage=4,IF(iecstatus=1,ROW(iecstatus)-ROW('INFORMATION, ÉDUCTION ET LA COM'!$E$5)+1)),ROWS(L$38:L39))),"")</f>
        <v/>
      </c>
      <c r="M39" s="179">
        <f>SUMPRODUCT((prevstage=4)*(prevstatus=0))</f>
        <v>3</v>
      </c>
      <c r="N39" s="176" t="str">
        <f t="array" ref="N39">IF(ROWS(N$38:N39)&lt;=$M$39,INDEX('PRÉVENTION ET DE CONTRÔLE'!$C$5:$C$29,SMALL(IF(prevstage=4,IF(prevstatus=0,ROW(prevstatus)-ROW('PRÉVENTION ET DE CONTRÔLE'!$E$5)+1)),ROWS(N$38:N39))),"")</f>
        <v>Liberté de rage transmise par les chiens durant au moins 2 ans dans tout le pays, prouvé par l'absence de cas de rage canine (variante canine)</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82.8">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2</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0</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1</v>
      </c>
      <c r="N40" s="176" t="str">
        <f t="array" ref="N40">IF(ROWS(N$38:N40)&lt;=$M$39,INDEX('PRÉVENTION ET DE CONTRÔLE'!$C$5:$C$29,SMALL(IF(prevstage=4,IF(prevstatus=0,ROW(prevstatus)-ROW('PRÉVENTION ET DE CONTRÔLE'!$E$5)+1)),ROWS(N$38:N40))),"")</f>
        <v>Intervention d'urgence / plan d'urgence pour tous les cas de rage animale impliquant une variante canine qui ont évolué pendant la préparation de la phase post-élimination</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9">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Maintien des investigations de laboratoire de tous les cas suspects dans les espèces animales domestiques et sauvages dans le pays.</v>
      </c>
      <c r="I47" s="170" t="str">
        <f t="array" ref="I47">IF(ROWS(I$47:I47)&lt;=$G$49,INDEX('DIAGNOSTIC DE LABORATOIRE'!$C$5:$C$15,SMALL(IF(labstage=5,IF(labstatus=1,ROW(labstatus)-ROW('DIAGNOSTIC DE LABORATOIRE'!$F$5)+1)),ROWS(I$47:I47))),"")</f>
        <v/>
      </c>
      <c r="J47" s="168"/>
      <c r="K47" s="165" t="str">
        <f t="array" ref="K47">IF(ROWS(K$47:K47)&lt;=$J$48,INDEX('INFORMATION, ÉDUCTION ET LA COM'!$C$5:$C$21,SMALL(IF(iecstage=5,IF(iecstatus=0,ROW(iecstatus)-ROW('INFORMATION, ÉDUCTION ET LA COM'!$E$5)+1)),ROWS(K$47:K47))),"")</f>
        <v>Continuation du management de la population canine et des campagnes  de sensibilisation des propriétaires de chien</v>
      </c>
      <c r="L47" s="166" t="str">
        <f t="array" ref="L47">IF(ROWS(L$47:L47)&lt;=$J$49,INDEX('INFORMATION, ÉDUCTION ET LA COM'!$C$5:$C$21,SMALL(IF(iecstage=5,IF(iecstatus=1,ROW(iecstatus)-ROW('INFORMATION, ÉDUCTION ET LA COM'!$E$5)+1)),ROWS(L$47:L47))),"")</f>
        <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55.2">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1</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1</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3</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41.4">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0</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0</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0</v>
      </c>
      <c r="N49" s="176" t="str">
        <f t="array" ref="N49">IF(ROWS(N$47:N49)&lt;=$M$48,INDEX('PRÉVENTION ET DE CONTRÔLE'!$C$5:$C$29,SMALL(IF(prevstage=5,IF(prevstatus=0,ROW(prevstatus)-ROW('PRÉVENTION ET DE CONTRÔLE'!$E$5)+1)),ROWS(N$47:N49))),"")</f>
        <v>Maintien de la capacité pour répondre aux épidémies et la réintroduction de la rage</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enableFormatConditionsCalculation="0">
    <tabColor rgb="FFFFC000"/>
  </sheetPr>
  <dimension ref="A1:B10"/>
  <sheetViews>
    <sheetView workbookViewId="0">
      <selection activeCell="B13" sqref="B13"/>
    </sheetView>
  </sheetViews>
  <sheetFormatPr baseColWidth="10" defaultColWidth="8.88671875" defaultRowHeight="14.4"/>
  <cols>
    <col min="2" max="2" width="74" bestFit="1" customWidth="1"/>
  </cols>
  <sheetData>
    <row r="1" spans="1:2">
      <c r="A1" t="s">
        <v>392</v>
      </c>
    </row>
    <row r="3" spans="1:2">
      <c r="A3" s="111" t="s">
        <v>394</v>
      </c>
      <c r="B3" s="115" t="s">
        <v>393</v>
      </c>
    </row>
    <row r="4" spans="1:2">
      <c r="A4" s="112" t="s">
        <v>398</v>
      </c>
      <c r="B4" s="116" t="s">
        <v>395</v>
      </c>
    </row>
    <row r="5" spans="1:2">
      <c r="A5" s="113" t="s">
        <v>397</v>
      </c>
      <c r="B5" s="117" t="s">
        <v>402</v>
      </c>
    </row>
    <row r="6" spans="1:2">
      <c r="A6" s="113" t="s">
        <v>397</v>
      </c>
      <c r="B6" s="117" t="s">
        <v>396</v>
      </c>
    </row>
    <row r="7" spans="1:2">
      <c r="A7" s="113" t="s">
        <v>399</v>
      </c>
      <c r="B7" s="117" t="s">
        <v>401</v>
      </c>
    </row>
    <row r="8" spans="1:2">
      <c r="A8" s="114" t="s">
        <v>399</v>
      </c>
      <c r="B8" s="118" t="s">
        <v>400</v>
      </c>
    </row>
    <row r="9" spans="1:2">
      <c r="A9" s="59"/>
    </row>
    <row r="10" spans="1:2">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enableFormatConditionsCalculation="0">
    <tabColor rgb="FFFFC000"/>
  </sheetPr>
  <dimension ref="A1:D45"/>
  <sheetViews>
    <sheetView workbookViewId="0">
      <selection activeCell="C45" sqref="C45"/>
    </sheetView>
  </sheetViews>
  <sheetFormatPr baseColWidth="10" defaultColWidth="8.88671875" defaultRowHeight="13.8"/>
  <cols>
    <col min="1" max="2" width="8.88671875" style="89"/>
    <col min="3" max="3" width="144" style="89" bestFit="1" customWidth="1"/>
    <col min="4" max="16384" width="8.88671875" style="89"/>
  </cols>
  <sheetData>
    <row r="1" spans="1:4" ht="14.4">
      <c r="A1" s="8" t="s">
        <v>0</v>
      </c>
      <c r="B1" s="8" t="s">
        <v>286</v>
      </c>
      <c r="C1" s="95" t="s">
        <v>287</v>
      </c>
    </row>
    <row r="2" spans="1:4">
      <c r="A2" s="89">
        <v>0</v>
      </c>
      <c r="B2" s="90" t="s">
        <v>374</v>
      </c>
      <c r="C2" s="90" t="s">
        <v>461</v>
      </c>
    </row>
    <row r="3" spans="1:4">
      <c r="A3" s="89">
        <v>0</v>
      </c>
      <c r="B3" s="90" t="s">
        <v>374</v>
      </c>
      <c r="C3" s="90" t="s">
        <v>462</v>
      </c>
    </row>
    <row r="4" spans="1:4">
      <c r="A4" s="89">
        <v>0</v>
      </c>
      <c r="B4" s="90" t="s">
        <v>374</v>
      </c>
      <c r="C4" s="90" t="s">
        <v>463</v>
      </c>
    </row>
    <row r="5" spans="1:4">
      <c r="A5" s="89">
        <v>0</v>
      </c>
      <c r="B5" s="90" t="s">
        <v>373</v>
      </c>
      <c r="C5" s="90" t="s">
        <v>427</v>
      </c>
    </row>
    <row r="6" spans="1:4">
      <c r="A6" s="89">
        <v>1</v>
      </c>
      <c r="B6" s="90" t="s">
        <v>376</v>
      </c>
      <c r="C6" s="90" t="s">
        <v>548</v>
      </c>
    </row>
    <row r="7" spans="1:4">
      <c r="A7" s="89">
        <v>1</v>
      </c>
      <c r="B7" s="90" t="s">
        <v>376</v>
      </c>
      <c r="C7" s="90" t="s">
        <v>542</v>
      </c>
    </row>
    <row r="8" spans="1:4">
      <c r="A8" s="89">
        <v>1</v>
      </c>
      <c r="B8" s="90" t="s">
        <v>375</v>
      </c>
      <c r="C8" s="90" t="s">
        <v>436</v>
      </c>
    </row>
    <row r="9" spans="1:4">
      <c r="A9" s="89">
        <v>1</v>
      </c>
      <c r="B9" s="90" t="s">
        <v>375</v>
      </c>
      <c r="C9" s="90" t="s">
        <v>437</v>
      </c>
    </row>
    <row r="10" spans="1:4">
      <c r="A10" s="89">
        <v>1</v>
      </c>
      <c r="B10" s="200" t="s">
        <v>288</v>
      </c>
      <c r="C10" s="199" t="s">
        <v>494</v>
      </c>
    </row>
    <row r="11" spans="1:4">
      <c r="A11" s="89">
        <v>1</v>
      </c>
      <c r="B11" s="200" t="s">
        <v>374</v>
      </c>
      <c r="C11" s="199" t="s">
        <v>472</v>
      </c>
    </row>
    <row r="12" spans="1:4">
      <c r="A12" s="89">
        <v>1</v>
      </c>
      <c r="B12" s="90" t="s">
        <v>373</v>
      </c>
      <c r="C12" s="90" t="s">
        <v>430</v>
      </c>
    </row>
    <row r="13" spans="1:4">
      <c r="A13" s="89">
        <v>1</v>
      </c>
      <c r="B13" s="90" t="s">
        <v>373</v>
      </c>
      <c r="C13" s="90" t="s">
        <v>431</v>
      </c>
    </row>
    <row r="14" spans="1:4">
      <c r="A14" s="89">
        <v>1</v>
      </c>
      <c r="B14" s="90" t="s">
        <v>377</v>
      </c>
      <c r="C14" s="90" t="s">
        <v>503</v>
      </c>
      <c r="D14" s="164"/>
    </row>
    <row r="15" spans="1:4">
      <c r="A15" s="89">
        <v>1</v>
      </c>
      <c r="B15" s="90" t="s">
        <v>377</v>
      </c>
      <c r="C15" s="90" t="s">
        <v>510</v>
      </c>
    </row>
    <row r="16" spans="1:4">
      <c r="A16" s="89">
        <v>2</v>
      </c>
      <c r="B16" s="90" t="s">
        <v>376</v>
      </c>
      <c r="C16" s="90" t="s">
        <v>550</v>
      </c>
    </row>
    <row r="17" spans="1:3">
      <c r="A17" s="89">
        <v>2</v>
      </c>
      <c r="B17" s="90" t="s">
        <v>376</v>
      </c>
      <c r="C17" s="90" t="s">
        <v>551</v>
      </c>
    </row>
    <row r="18" spans="1:3">
      <c r="A18" s="89">
        <v>2</v>
      </c>
      <c r="B18" s="90" t="s">
        <v>375</v>
      </c>
      <c r="C18" s="90" t="s">
        <v>445</v>
      </c>
    </row>
    <row r="19" spans="1:3">
      <c r="A19" s="89">
        <v>2</v>
      </c>
      <c r="B19" s="90" t="s">
        <v>288</v>
      </c>
      <c r="C19" s="90" t="s">
        <v>572</v>
      </c>
    </row>
    <row r="20" spans="1:3">
      <c r="A20" s="89">
        <v>2</v>
      </c>
      <c r="B20" s="92" t="s">
        <v>373</v>
      </c>
      <c r="C20" s="90" t="s">
        <v>573</v>
      </c>
    </row>
    <row r="21" spans="1:3">
      <c r="A21" s="89">
        <v>2</v>
      </c>
      <c r="B21" s="90" t="s">
        <v>377</v>
      </c>
      <c r="C21" s="90" t="s">
        <v>505</v>
      </c>
    </row>
    <row r="22" spans="1:3">
      <c r="A22" s="89">
        <v>2</v>
      </c>
      <c r="B22" s="90" t="s">
        <v>377</v>
      </c>
      <c r="C22" s="90" t="s">
        <v>507</v>
      </c>
    </row>
    <row r="23" spans="1:3">
      <c r="A23" s="89">
        <v>2</v>
      </c>
      <c r="B23" s="90" t="s">
        <v>377</v>
      </c>
      <c r="C23" s="90" t="s">
        <v>513</v>
      </c>
    </row>
    <row r="24" spans="1:3">
      <c r="A24" s="89">
        <v>3</v>
      </c>
      <c r="B24" s="90" t="s">
        <v>375</v>
      </c>
      <c r="C24" s="90" t="s">
        <v>446</v>
      </c>
    </row>
    <row r="25" spans="1:3">
      <c r="A25" s="89">
        <v>3</v>
      </c>
      <c r="B25" s="90" t="s">
        <v>375</v>
      </c>
      <c r="C25" s="90" t="s">
        <v>447</v>
      </c>
    </row>
    <row r="26" spans="1:3">
      <c r="A26" s="89">
        <v>3</v>
      </c>
      <c r="B26" s="90" t="s">
        <v>375</v>
      </c>
      <c r="C26" s="90" t="s">
        <v>448</v>
      </c>
    </row>
    <row r="27" spans="1:3">
      <c r="A27" s="89">
        <v>3</v>
      </c>
      <c r="B27" s="90" t="s">
        <v>288</v>
      </c>
      <c r="C27" s="90" t="s">
        <v>434</v>
      </c>
    </row>
    <row r="28" spans="1:3">
      <c r="A28" s="89">
        <v>3</v>
      </c>
      <c r="B28" s="90" t="s">
        <v>288</v>
      </c>
      <c r="C28" s="90" t="s">
        <v>485</v>
      </c>
    </row>
    <row r="29" spans="1:3">
      <c r="A29" s="89">
        <v>3</v>
      </c>
      <c r="B29" s="90" t="s">
        <v>377</v>
      </c>
      <c r="C29" s="90" t="s">
        <v>508</v>
      </c>
    </row>
    <row r="30" spans="1:3">
      <c r="A30" s="89">
        <v>3</v>
      </c>
      <c r="B30" s="90" t="s">
        <v>377</v>
      </c>
      <c r="C30" s="90" t="s">
        <v>526</v>
      </c>
    </row>
    <row r="31" spans="1:3">
      <c r="A31" s="89">
        <v>3</v>
      </c>
      <c r="B31" s="90" t="s">
        <v>377</v>
      </c>
      <c r="C31" s="90" t="s">
        <v>514</v>
      </c>
    </row>
    <row r="32" spans="1:3">
      <c r="A32" s="89">
        <v>3</v>
      </c>
      <c r="B32" s="90" t="s">
        <v>377</v>
      </c>
      <c r="C32" s="90" t="s">
        <v>515</v>
      </c>
    </row>
    <row r="33" spans="1:3">
      <c r="A33" s="89">
        <v>4</v>
      </c>
      <c r="B33" s="90" t="s">
        <v>375</v>
      </c>
      <c r="C33" s="90" t="s">
        <v>449</v>
      </c>
    </row>
    <row r="34" spans="1:3">
      <c r="A34" s="89">
        <v>4</v>
      </c>
      <c r="B34" s="90" t="s">
        <v>375</v>
      </c>
      <c r="C34" s="90" t="s">
        <v>451</v>
      </c>
    </row>
    <row r="35" spans="1:3">
      <c r="A35" s="89">
        <v>4</v>
      </c>
      <c r="B35" s="90" t="s">
        <v>374</v>
      </c>
      <c r="C35" s="90" t="s">
        <v>468</v>
      </c>
    </row>
    <row r="36" spans="1:3">
      <c r="A36" s="89">
        <v>4</v>
      </c>
      <c r="B36" s="90" t="s">
        <v>574</v>
      </c>
      <c r="C36" s="90" t="s">
        <v>489</v>
      </c>
    </row>
    <row r="37" spans="1:3">
      <c r="A37" s="89">
        <v>4</v>
      </c>
      <c r="B37" s="90" t="s">
        <v>377</v>
      </c>
      <c r="C37" s="90" t="s">
        <v>516</v>
      </c>
    </row>
    <row r="38" spans="1:3">
      <c r="A38" s="89">
        <v>4</v>
      </c>
      <c r="B38" s="90" t="s">
        <v>377</v>
      </c>
      <c r="C38" s="90" t="s">
        <v>527</v>
      </c>
    </row>
    <row r="39" spans="1:3">
      <c r="A39" s="89">
        <v>4</v>
      </c>
      <c r="B39" s="90" t="s">
        <v>377</v>
      </c>
      <c r="C39" s="90" t="s">
        <v>529</v>
      </c>
    </row>
    <row r="40" spans="1:3">
      <c r="A40" s="89">
        <v>5</v>
      </c>
      <c r="B40" s="90" t="s">
        <v>375</v>
      </c>
      <c r="C40" s="93" t="s">
        <v>452</v>
      </c>
    </row>
    <row r="41" spans="1:3">
      <c r="A41" s="89">
        <v>5</v>
      </c>
      <c r="B41" s="90" t="s">
        <v>381</v>
      </c>
      <c r="C41" s="93" t="s">
        <v>491</v>
      </c>
    </row>
    <row r="42" spans="1:3">
      <c r="A42" s="89">
        <v>5</v>
      </c>
      <c r="B42" s="90" t="s">
        <v>374</v>
      </c>
      <c r="C42" s="205" t="s">
        <v>469</v>
      </c>
    </row>
    <row r="43" spans="1:3">
      <c r="A43" s="89">
        <v>5</v>
      </c>
      <c r="B43" s="90" t="s">
        <v>377</v>
      </c>
      <c r="C43" s="93" t="s">
        <v>509</v>
      </c>
    </row>
    <row r="44" spans="1:3">
      <c r="A44" s="89">
        <v>5</v>
      </c>
      <c r="B44" s="90" t="s">
        <v>377</v>
      </c>
      <c r="C44" s="93" t="s">
        <v>517</v>
      </c>
    </row>
    <row r="45" spans="1:3">
      <c r="A45" s="89">
        <v>5</v>
      </c>
      <c r="B45" s="90" t="s">
        <v>377</v>
      </c>
      <c r="C45" s="93" t="s">
        <v>530</v>
      </c>
    </row>
  </sheetData>
  <sortState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sheetPr enableFormatConditionsCalculation="0">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4.4"/>
  <cols>
    <col min="1" max="1" width="13.109375" style="98" customWidth="1"/>
    <col min="2" max="2" width="17.33203125" style="60" bestFit="1" customWidth="1"/>
    <col min="3" max="3" width="78.33203125" style="21" customWidth="1"/>
    <col min="4" max="16384" width="8.6640625" style="60"/>
  </cols>
  <sheetData>
    <row r="1" spans="1:3">
      <c r="A1" s="98" t="s">
        <v>0</v>
      </c>
      <c r="B1" s="60" t="s">
        <v>286</v>
      </c>
      <c r="C1" s="21" t="s">
        <v>287</v>
      </c>
    </row>
    <row r="2" spans="1:3">
      <c r="A2" s="98">
        <v>0</v>
      </c>
      <c r="B2" s="60" t="s">
        <v>382</v>
      </c>
      <c r="C2" s="97" t="s">
        <v>289</v>
      </c>
    </row>
    <row r="3" spans="1:3">
      <c r="A3" s="98">
        <v>0</v>
      </c>
      <c r="B3" s="60" t="s">
        <v>382</v>
      </c>
      <c r="C3" s="97" t="s">
        <v>290</v>
      </c>
    </row>
    <row r="4" spans="1:3">
      <c r="A4" s="98">
        <v>0</v>
      </c>
      <c r="B4" s="60" t="s">
        <v>382</v>
      </c>
      <c r="C4" s="97" t="s">
        <v>294</v>
      </c>
    </row>
    <row r="5" spans="1:3">
      <c r="A5" s="98">
        <v>0</v>
      </c>
      <c r="B5" s="60" t="s">
        <v>384</v>
      </c>
      <c r="C5" s="97" t="s">
        <v>291</v>
      </c>
    </row>
    <row r="6" spans="1:3">
      <c r="A6" s="98">
        <v>0</v>
      </c>
      <c r="B6" s="60" t="s">
        <v>384</v>
      </c>
      <c r="C6" s="97" t="s">
        <v>293</v>
      </c>
    </row>
    <row r="7" spans="1:3">
      <c r="A7" s="98">
        <v>0</v>
      </c>
      <c r="B7" s="60" t="s">
        <v>384</v>
      </c>
      <c r="C7" s="97" t="s">
        <v>292</v>
      </c>
    </row>
    <row r="8" spans="1:3">
      <c r="A8" s="97">
        <v>0</v>
      </c>
      <c r="B8" s="60" t="s">
        <v>388</v>
      </c>
      <c r="C8" s="100" t="s">
        <v>295</v>
      </c>
    </row>
    <row r="9" spans="1:3">
      <c r="A9" s="98">
        <v>1</v>
      </c>
      <c r="B9" s="60" t="s">
        <v>382</v>
      </c>
      <c r="C9" s="97" t="s">
        <v>11</v>
      </c>
    </row>
    <row r="10" spans="1:3">
      <c r="A10" s="98">
        <v>1</v>
      </c>
      <c r="B10" s="60" t="s">
        <v>382</v>
      </c>
      <c r="C10" s="97" t="s">
        <v>12</v>
      </c>
    </row>
    <row r="11" spans="1:3">
      <c r="A11" s="98">
        <v>1</v>
      </c>
      <c r="B11" s="60" t="s">
        <v>382</v>
      </c>
      <c r="C11" s="97" t="s">
        <v>296</v>
      </c>
    </row>
    <row r="12" spans="1:3">
      <c r="A12" s="98">
        <v>1</v>
      </c>
      <c r="B12" s="60" t="s">
        <v>382</v>
      </c>
      <c r="C12" s="97" t="s">
        <v>297</v>
      </c>
    </row>
    <row r="13" spans="1:3">
      <c r="A13" s="98">
        <v>1</v>
      </c>
      <c r="B13" s="60" t="s">
        <v>382</v>
      </c>
      <c r="C13" s="97" t="s">
        <v>298</v>
      </c>
    </row>
    <row r="14" spans="1:3">
      <c r="A14" s="98">
        <v>1</v>
      </c>
      <c r="B14" s="60" t="s">
        <v>382</v>
      </c>
      <c r="C14" s="97" t="s">
        <v>299</v>
      </c>
    </row>
    <row r="15" spans="1:3">
      <c r="A15" s="98">
        <v>1</v>
      </c>
      <c r="B15" s="60" t="s">
        <v>382</v>
      </c>
      <c r="C15" s="97" t="s">
        <v>300</v>
      </c>
    </row>
    <row r="16" spans="1:3">
      <c r="A16" s="98">
        <v>1</v>
      </c>
      <c r="B16" s="60" t="s">
        <v>382</v>
      </c>
      <c r="C16" s="97" t="s">
        <v>301</v>
      </c>
    </row>
    <row r="17" spans="1:3">
      <c r="A17" s="98">
        <v>1</v>
      </c>
      <c r="B17" s="60" t="s">
        <v>383</v>
      </c>
      <c r="C17" s="97" t="s">
        <v>302</v>
      </c>
    </row>
    <row r="18" spans="1:3">
      <c r="A18" s="98">
        <v>1</v>
      </c>
      <c r="B18" s="60" t="s">
        <v>383</v>
      </c>
      <c r="C18" s="97" t="s">
        <v>303</v>
      </c>
    </row>
    <row r="19" spans="1:3">
      <c r="A19" s="98">
        <v>1</v>
      </c>
      <c r="B19" s="60" t="s">
        <v>383</v>
      </c>
      <c r="C19" s="97" t="s">
        <v>304</v>
      </c>
    </row>
    <row r="20" spans="1:3">
      <c r="A20" s="98">
        <v>1</v>
      </c>
      <c r="B20" s="60" t="s">
        <v>383</v>
      </c>
      <c r="C20" s="97" t="s">
        <v>305</v>
      </c>
    </row>
    <row r="21" spans="1:3">
      <c r="A21" s="98">
        <v>1</v>
      </c>
      <c r="B21" s="60" t="s">
        <v>383</v>
      </c>
      <c r="C21" s="97" t="s">
        <v>306</v>
      </c>
    </row>
    <row r="22" spans="1:3">
      <c r="A22" s="98">
        <v>1</v>
      </c>
      <c r="B22" s="60" t="s">
        <v>383</v>
      </c>
      <c r="C22" s="97" t="s">
        <v>6</v>
      </c>
    </row>
    <row r="23" spans="1:3">
      <c r="A23" s="98">
        <v>1</v>
      </c>
      <c r="B23" s="60" t="s">
        <v>384</v>
      </c>
      <c r="C23" s="97" t="s">
        <v>379</v>
      </c>
    </row>
    <row r="24" spans="1:3">
      <c r="A24" s="98">
        <v>1</v>
      </c>
      <c r="B24" s="60" t="s">
        <v>385</v>
      </c>
      <c r="C24" s="97" t="s">
        <v>378</v>
      </c>
    </row>
    <row r="25" spans="1:3">
      <c r="A25" s="97">
        <v>1</v>
      </c>
      <c r="B25" s="60" t="s">
        <v>385</v>
      </c>
      <c r="C25" s="97" t="s">
        <v>307</v>
      </c>
    </row>
    <row r="26" spans="1:3">
      <c r="A26" s="97">
        <v>1</v>
      </c>
      <c r="B26" s="60" t="s">
        <v>385</v>
      </c>
      <c r="C26" s="97" t="s">
        <v>308</v>
      </c>
    </row>
    <row r="27" spans="1:3" ht="15" customHeight="1">
      <c r="A27" s="97">
        <v>1</v>
      </c>
      <c r="B27" s="60" t="s">
        <v>385</v>
      </c>
      <c r="C27" s="97" t="s">
        <v>309</v>
      </c>
    </row>
    <row r="28" spans="1:3">
      <c r="A28" s="98">
        <v>1</v>
      </c>
      <c r="B28" s="60" t="s">
        <v>385</v>
      </c>
      <c r="C28" s="97" t="s">
        <v>310</v>
      </c>
    </row>
    <row r="29" spans="1:3">
      <c r="A29" s="98">
        <v>1</v>
      </c>
      <c r="B29" s="60" t="s">
        <v>386</v>
      </c>
      <c r="C29" s="97" t="s">
        <v>314</v>
      </c>
    </row>
    <row r="30" spans="1:3">
      <c r="A30" s="98">
        <v>1</v>
      </c>
      <c r="B30" s="60" t="s">
        <v>386</v>
      </c>
      <c r="C30" s="97" t="s">
        <v>315</v>
      </c>
    </row>
    <row r="31" spans="1:3">
      <c r="A31" s="97">
        <v>1</v>
      </c>
      <c r="B31" s="60" t="s">
        <v>386</v>
      </c>
      <c r="C31" s="99" t="s">
        <v>311</v>
      </c>
    </row>
    <row r="32" spans="1:3" ht="15" customHeight="1">
      <c r="A32" s="97">
        <v>1</v>
      </c>
      <c r="B32" s="60" t="s">
        <v>386</v>
      </c>
      <c r="C32" s="97" t="s">
        <v>312</v>
      </c>
    </row>
    <row r="33" spans="1:3">
      <c r="A33" s="97">
        <v>1</v>
      </c>
      <c r="B33" s="60" t="s">
        <v>386</v>
      </c>
      <c r="C33" s="97" t="s">
        <v>313</v>
      </c>
    </row>
    <row r="34" spans="1:3">
      <c r="A34" s="98">
        <v>1</v>
      </c>
      <c r="B34" s="60" t="s">
        <v>387</v>
      </c>
      <c r="C34" s="97" t="s">
        <v>6</v>
      </c>
    </row>
    <row r="35" spans="1:3">
      <c r="A35" s="98">
        <v>1</v>
      </c>
      <c r="B35" s="60" t="s">
        <v>387</v>
      </c>
      <c r="C35" s="97" t="s">
        <v>313</v>
      </c>
    </row>
    <row r="36" spans="1:3">
      <c r="A36" s="98">
        <v>1</v>
      </c>
      <c r="B36" s="60" t="s">
        <v>388</v>
      </c>
      <c r="C36" s="97" t="s">
        <v>7</v>
      </c>
    </row>
    <row r="37" spans="1:3" ht="15" customHeight="1">
      <c r="A37" s="98">
        <v>1</v>
      </c>
      <c r="B37" s="60" t="s">
        <v>388</v>
      </c>
      <c r="C37" s="97" t="s">
        <v>316</v>
      </c>
    </row>
    <row r="38" spans="1:3">
      <c r="A38" s="98">
        <v>1</v>
      </c>
      <c r="B38" s="60" t="s">
        <v>388</v>
      </c>
      <c r="C38" s="97" t="s">
        <v>317</v>
      </c>
    </row>
    <row r="39" spans="1:3">
      <c r="A39" s="98">
        <v>1</v>
      </c>
      <c r="B39" s="60" t="s">
        <v>388</v>
      </c>
      <c r="C39" s="97" t="s">
        <v>318</v>
      </c>
    </row>
    <row r="40" spans="1:3">
      <c r="A40" s="98">
        <v>1</v>
      </c>
      <c r="B40" s="60" t="s">
        <v>388</v>
      </c>
      <c r="C40" s="97" t="s">
        <v>8</v>
      </c>
    </row>
    <row r="41" spans="1:3" ht="15" customHeight="1">
      <c r="A41" s="98">
        <v>2</v>
      </c>
      <c r="B41" s="60" t="s">
        <v>382</v>
      </c>
      <c r="C41" s="97" t="s">
        <v>319</v>
      </c>
    </row>
    <row r="42" spans="1:3">
      <c r="A42" s="98">
        <v>2</v>
      </c>
      <c r="B42" s="60" t="s">
        <v>382</v>
      </c>
      <c r="C42" s="97" t="s">
        <v>320</v>
      </c>
    </row>
    <row r="43" spans="1:3">
      <c r="A43" s="98">
        <v>2</v>
      </c>
      <c r="B43" s="60" t="s">
        <v>382</v>
      </c>
      <c r="C43" s="97" t="s">
        <v>321</v>
      </c>
    </row>
    <row r="44" spans="1:3">
      <c r="A44" s="98">
        <v>2</v>
      </c>
      <c r="B44" s="60" t="s">
        <v>383</v>
      </c>
      <c r="C44" s="97" t="s">
        <v>322</v>
      </c>
    </row>
    <row r="45" spans="1:3">
      <c r="A45" s="98">
        <v>2</v>
      </c>
      <c r="B45" s="60" t="s">
        <v>383</v>
      </c>
      <c r="C45" s="97" t="s">
        <v>323</v>
      </c>
    </row>
    <row r="46" spans="1:3">
      <c r="A46" s="98">
        <v>2</v>
      </c>
      <c r="B46" s="60" t="s">
        <v>383</v>
      </c>
      <c r="C46" s="97" t="s">
        <v>324</v>
      </c>
    </row>
    <row r="47" spans="1:3">
      <c r="A47" s="98">
        <v>2</v>
      </c>
      <c r="B47" s="60" t="s">
        <v>383</v>
      </c>
      <c r="C47" s="97" t="s">
        <v>325</v>
      </c>
    </row>
    <row r="48" spans="1:3">
      <c r="A48" s="98">
        <v>2</v>
      </c>
      <c r="B48" s="60" t="s">
        <v>384</v>
      </c>
      <c r="C48" s="97" t="s">
        <v>327</v>
      </c>
    </row>
    <row r="49" spans="1:3">
      <c r="A49" s="98">
        <v>2</v>
      </c>
      <c r="B49" s="60" t="s">
        <v>384</v>
      </c>
      <c r="C49" s="97" t="s">
        <v>326</v>
      </c>
    </row>
    <row r="50" spans="1:3">
      <c r="A50" s="98">
        <v>2</v>
      </c>
      <c r="B50" s="60" t="s">
        <v>385</v>
      </c>
      <c r="C50" s="97" t="s">
        <v>325</v>
      </c>
    </row>
    <row r="51" spans="1:3">
      <c r="A51" s="97">
        <v>2</v>
      </c>
      <c r="B51" s="60" t="s">
        <v>385</v>
      </c>
      <c r="C51" s="97" t="s">
        <v>335</v>
      </c>
    </row>
    <row r="52" spans="1:3">
      <c r="A52" s="97">
        <v>2</v>
      </c>
      <c r="B52" s="60" t="s">
        <v>385</v>
      </c>
      <c r="C52" s="97" t="s">
        <v>333</v>
      </c>
    </row>
    <row r="53" spans="1:3">
      <c r="A53" s="97">
        <v>2</v>
      </c>
      <c r="B53" s="60" t="s">
        <v>385</v>
      </c>
      <c r="C53" s="97" t="s">
        <v>336</v>
      </c>
    </row>
    <row r="54" spans="1:3">
      <c r="A54" s="98">
        <v>2</v>
      </c>
      <c r="B54" s="60" t="s">
        <v>385</v>
      </c>
      <c r="C54" s="97" t="s">
        <v>337</v>
      </c>
    </row>
    <row r="55" spans="1:3">
      <c r="A55" s="98">
        <v>2</v>
      </c>
      <c r="B55" s="60" t="s">
        <v>386</v>
      </c>
      <c r="C55" s="97" t="s">
        <v>328</v>
      </c>
    </row>
    <row r="56" spans="1:3">
      <c r="A56" s="98">
        <v>2</v>
      </c>
      <c r="B56" s="60" t="s">
        <v>386</v>
      </c>
      <c r="C56" s="97" t="s">
        <v>330</v>
      </c>
    </row>
    <row r="57" spans="1:3">
      <c r="A57" s="97">
        <v>2</v>
      </c>
      <c r="B57" s="60" t="s">
        <v>386</v>
      </c>
      <c r="C57" s="97" t="s">
        <v>329</v>
      </c>
    </row>
    <row r="58" spans="1:3">
      <c r="A58" s="98">
        <v>2</v>
      </c>
      <c r="B58" s="60" t="s">
        <v>386</v>
      </c>
      <c r="C58" s="97" t="s">
        <v>3</v>
      </c>
    </row>
    <row r="59" spans="1:3">
      <c r="A59" s="98">
        <v>2</v>
      </c>
      <c r="B59" s="60" t="s">
        <v>386</v>
      </c>
      <c r="C59" s="97" t="s">
        <v>4</v>
      </c>
    </row>
    <row r="60" spans="1:3">
      <c r="A60" s="97">
        <v>2</v>
      </c>
      <c r="B60" s="60" t="s">
        <v>386</v>
      </c>
      <c r="C60" s="97" t="s">
        <v>331</v>
      </c>
    </row>
    <row r="61" spans="1:3">
      <c r="A61" s="97">
        <v>2</v>
      </c>
      <c r="B61" s="60" t="s">
        <v>386</v>
      </c>
      <c r="C61" s="97" t="s">
        <v>332</v>
      </c>
    </row>
    <row r="62" spans="1:3">
      <c r="A62" s="98">
        <v>2</v>
      </c>
      <c r="B62" s="60" t="s">
        <v>387</v>
      </c>
      <c r="C62" s="97" t="s">
        <v>333</v>
      </c>
    </row>
    <row r="63" spans="1:3">
      <c r="A63" s="98">
        <v>2</v>
      </c>
      <c r="B63" s="60" t="s">
        <v>387</v>
      </c>
      <c r="C63" s="97" t="s">
        <v>334</v>
      </c>
    </row>
    <row r="64" spans="1:3">
      <c r="A64" s="98">
        <v>2</v>
      </c>
      <c r="B64" s="60" t="s">
        <v>388</v>
      </c>
      <c r="C64" s="97" t="s">
        <v>9</v>
      </c>
    </row>
    <row r="65" spans="1:3">
      <c r="A65" s="98">
        <v>2</v>
      </c>
      <c r="B65" s="60" t="s">
        <v>388</v>
      </c>
      <c r="C65" s="97" t="s">
        <v>340</v>
      </c>
    </row>
    <row r="66" spans="1:3">
      <c r="A66" s="98">
        <v>2</v>
      </c>
      <c r="B66" s="60" t="s">
        <v>388</v>
      </c>
      <c r="C66" s="97" t="s">
        <v>338</v>
      </c>
    </row>
    <row r="67" spans="1:3">
      <c r="A67" s="98">
        <v>2</v>
      </c>
      <c r="B67" s="60" t="s">
        <v>388</v>
      </c>
      <c r="C67" s="97" t="s">
        <v>339</v>
      </c>
    </row>
    <row r="68" spans="1:3">
      <c r="A68" s="98">
        <v>3</v>
      </c>
      <c r="B68" s="60" t="s">
        <v>383</v>
      </c>
      <c r="C68" s="97" t="s">
        <v>343</v>
      </c>
    </row>
    <row r="69" spans="1:3">
      <c r="A69" s="98">
        <v>3</v>
      </c>
      <c r="B69" s="60" t="s">
        <v>383</v>
      </c>
      <c r="C69" s="97" t="s">
        <v>344</v>
      </c>
    </row>
    <row r="70" spans="1:3">
      <c r="A70" s="98">
        <v>3</v>
      </c>
      <c r="B70" s="60" t="s">
        <v>383</v>
      </c>
      <c r="C70" s="97" t="s">
        <v>345</v>
      </c>
    </row>
    <row r="71" spans="1:3">
      <c r="A71" s="98">
        <v>3</v>
      </c>
      <c r="B71" s="60" t="s">
        <v>383</v>
      </c>
      <c r="C71" s="97" t="s">
        <v>346</v>
      </c>
    </row>
    <row r="72" spans="1:3">
      <c r="A72" s="98">
        <v>3</v>
      </c>
      <c r="B72" s="60" t="s">
        <v>383</v>
      </c>
      <c r="C72" s="97" t="s">
        <v>347</v>
      </c>
    </row>
    <row r="73" spans="1:3">
      <c r="A73" s="98">
        <v>3</v>
      </c>
      <c r="B73" s="60" t="s">
        <v>384</v>
      </c>
      <c r="C73" s="97" t="s">
        <v>341</v>
      </c>
    </row>
    <row r="74" spans="1:3">
      <c r="A74" s="98">
        <v>3</v>
      </c>
      <c r="B74" s="60" t="s">
        <v>384</v>
      </c>
      <c r="C74" s="97" t="s">
        <v>342</v>
      </c>
    </row>
    <row r="75" spans="1:3">
      <c r="A75" s="97">
        <v>3</v>
      </c>
      <c r="B75" s="60" t="s">
        <v>385</v>
      </c>
      <c r="C75" s="97" t="s">
        <v>357</v>
      </c>
    </row>
    <row r="76" spans="1:3">
      <c r="A76" s="97">
        <v>3</v>
      </c>
      <c r="B76" s="60" t="s">
        <v>385</v>
      </c>
      <c r="C76" s="97" t="s">
        <v>354</v>
      </c>
    </row>
    <row r="77" spans="1:3">
      <c r="A77" s="97">
        <v>3</v>
      </c>
      <c r="B77" s="60" t="s">
        <v>385</v>
      </c>
      <c r="C77" s="97" t="s">
        <v>355</v>
      </c>
    </row>
    <row r="78" spans="1:3">
      <c r="A78" s="97">
        <v>3</v>
      </c>
      <c r="B78" s="60" t="s">
        <v>385</v>
      </c>
      <c r="C78" s="97" t="s">
        <v>356</v>
      </c>
    </row>
    <row r="79" spans="1:3">
      <c r="A79" s="97">
        <v>3</v>
      </c>
      <c r="B79" s="60" t="s">
        <v>386</v>
      </c>
      <c r="C79" s="97" t="s">
        <v>348</v>
      </c>
    </row>
    <row r="80" spans="1:3" ht="15" customHeight="1">
      <c r="A80" s="98">
        <v>3</v>
      </c>
      <c r="B80" s="60" t="s">
        <v>386</v>
      </c>
      <c r="C80" s="97" t="s">
        <v>352</v>
      </c>
    </row>
    <row r="81" spans="1:3">
      <c r="A81" s="98">
        <v>3</v>
      </c>
      <c r="B81" s="60" t="s">
        <v>386</v>
      </c>
      <c r="C81" s="97" t="s">
        <v>353</v>
      </c>
    </row>
    <row r="82" spans="1:3">
      <c r="A82" s="97">
        <v>3</v>
      </c>
      <c r="B82" s="60" t="s">
        <v>386</v>
      </c>
      <c r="C82" s="97" t="s">
        <v>349</v>
      </c>
    </row>
    <row r="83" spans="1:3">
      <c r="A83" s="98">
        <v>3</v>
      </c>
      <c r="B83" s="60" t="s">
        <v>386</v>
      </c>
      <c r="C83" s="97" t="s">
        <v>350</v>
      </c>
    </row>
    <row r="84" spans="1:3">
      <c r="A84" s="98">
        <v>3</v>
      </c>
      <c r="B84" s="60" t="s">
        <v>386</v>
      </c>
      <c r="C84" s="97" t="s">
        <v>351</v>
      </c>
    </row>
    <row r="85" spans="1:3">
      <c r="A85" s="98">
        <v>3</v>
      </c>
      <c r="B85" s="60" t="s">
        <v>388</v>
      </c>
      <c r="C85" s="97" t="s">
        <v>358</v>
      </c>
    </row>
    <row r="86" spans="1:3">
      <c r="A86" s="98">
        <v>4</v>
      </c>
      <c r="B86" s="60" t="s">
        <v>382</v>
      </c>
      <c r="C86" s="97" t="s">
        <v>366</v>
      </c>
    </row>
    <row r="87" spans="1:3">
      <c r="A87" s="98">
        <v>4</v>
      </c>
      <c r="B87" s="60" t="s">
        <v>383</v>
      </c>
      <c r="C87" s="97" t="s">
        <v>360</v>
      </c>
    </row>
    <row r="88" spans="1:3">
      <c r="A88" s="98">
        <v>4</v>
      </c>
      <c r="B88" s="60" t="s">
        <v>383</v>
      </c>
      <c r="C88" s="97" t="s">
        <v>361</v>
      </c>
    </row>
    <row r="89" spans="1:3">
      <c r="A89" s="98">
        <v>4</v>
      </c>
      <c r="B89" s="60" t="s">
        <v>384</v>
      </c>
      <c r="C89" s="97" t="s">
        <v>359</v>
      </c>
    </row>
    <row r="90" spans="1:3">
      <c r="A90" s="98">
        <v>4</v>
      </c>
      <c r="B90" s="60" t="s">
        <v>384</v>
      </c>
      <c r="C90" s="97" t="s">
        <v>361</v>
      </c>
    </row>
    <row r="91" spans="1:3">
      <c r="A91" s="97">
        <v>4</v>
      </c>
      <c r="B91" s="60" t="s">
        <v>385</v>
      </c>
      <c r="C91" s="97" t="s">
        <v>366</v>
      </c>
    </row>
    <row r="92" spans="1:3">
      <c r="A92" s="97">
        <v>4</v>
      </c>
      <c r="B92" s="60" t="s">
        <v>385</v>
      </c>
      <c r="C92" s="97" t="s">
        <v>367</v>
      </c>
    </row>
    <row r="93" spans="1:3" ht="15" customHeight="1">
      <c r="A93" s="98">
        <v>4</v>
      </c>
      <c r="B93" s="60" t="s">
        <v>386</v>
      </c>
      <c r="C93" s="97" t="s">
        <v>362</v>
      </c>
    </row>
    <row r="94" spans="1:3">
      <c r="A94" s="98">
        <v>4</v>
      </c>
      <c r="B94" s="60" t="s">
        <v>386</v>
      </c>
      <c r="C94" s="97" t="s">
        <v>363</v>
      </c>
    </row>
    <row r="95" spans="1:3">
      <c r="A95" s="98">
        <v>4</v>
      </c>
      <c r="B95" s="60" t="s">
        <v>386</v>
      </c>
      <c r="C95" s="97" t="s">
        <v>364</v>
      </c>
    </row>
    <row r="96" spans="1:3">
      <c r="A96" s="98">
        <v>4</v>
      </c>
      <c r="B96" s="60" t="s">
        <v>386</v>
      </c>
      <c r="C96" s="97" t="s">
        <v>365</v>
      </c>
    </row>
    <row r="97" spans="1:3">
      <c r="A97" s="98">
        <v>4</v>
      </c>
      <c r="B97" s="60" t="s">
        <v>388</v>
      </c>
      <c r="C97" s="97" t="s">
        <v>10</v>
      </c>
    </row>
    <row r="98" spans="1:3">
      <c r="A98" s="98">
        <v>5</v>
      </c>
      <c r="B98" s="60" t="s">
        <v>383</v>
      </c>
      <c r="C98" s="97" t="s">
        <v>368</v>
      </c>
    </row>
    <row r="99" spans="1:3">
      <c r="A99" s="98">
        <v>5</v>
      </c>
      <c r="B99" s="60" t="s">
        <v>384</v>
      </c>
      <c r="C99" s="97" t="s">
        <v>369</v>
      </c>
    </row>
    <row r="100" spans="1:3">
      <c r="A100" s="97">
        <v>5</v>
      </c>
      <c r="B100" s="60" t="s">
        <v>385</v>
      </c>
      <c r="C100" s="97" t="s">
        <v>370</v>
      </c>
    </row>
    <row r="101" spans="1:3">
      <c r="A101" s="97">
        <v>5</v>
      </c>
      <c r="B101" s="60" t="s">
        <v>386</v>
      </c>
      <c r="C101" s="97" t="s">
        <v>372</v>
      </c>
    </row>
    <row r="102" spans="1:3">
      <c r="A102" s="97">
        <v>5</v>
      </c>
      <c r="B102" s="60" t="s">
        <v>386</v>
      </c>
      <c r="C102" s="97" t="s">
        <v>371</v>
      </c>
    </row>
    <row r="103" spans="1:3">
      <c r="A103" s="98">
        <v>5</v>
      </c>
      <c r="B103" s="60" t="s">
        <v>386</v>
      </c>
      <c r="C103" s="97" t="s">
        <v>5</v>
      </c>
    </row>
    <row r="104" spans="1:3">
      <c r="A104" s="98">
        <v>5</v>
      </c>
      <c r="B104" s="60" t="s">
        <v>387</v>
      </c>
      <c r="C104" s="97" t="s">
        <v>370</v>
      </c>
    </row>
    <row r="107" spans="1:3">
      <c r="A107" s="101" t="s">
        <v>389</v>
      </c>
      <c r="B107" t="s">
        <v>391</v>
      </c>
      <c r="C107"/>
    </row>
    <row r="108" spans="1:3">
      <c r="A108" s="83">
        <v>0</v>
      </c>
      <c r="B108" s="102">
        <v>7</v>
      </c>
      <c r="C108"/>
    </row>
    <row r="109" spans="1:3">
      <c r="A109" s="83">
        <v>1</v>
      </c>
      <c r="B109" s="102">
        <v>32</v>
      </c>
      <c r="C109"/>
    </row>
    <row r="110" spans="1:3">
      <c r="A110" s="83">
        <v>2</v>
      </c>
      <c r="B110" s="102">
        <v>27</v>
      </c>
      <c r="C110"/>
    </row>
    <row r="111" spans="1:3">
      <c r="A111" s="83">
        <v>3</v>
      </c>
      <c r="B111" s="102">
        <v>18</v>
      </c>
      <c r="C111"/>
    </row>
    <row r="112" spans="1:3">
      <c r="A112" s="83">
        <v>4</v>
      </c>
      <c r="B112" s="102">
        <v>12</v>
      </c>
      <c r="C112"/>
    </row>
    <row r="113" spans="1:3">
      <c r="A113" s="83">
        <v>5</v>
      </c>
      <c r="B113" s="102">
        <v>7</v>
      </c>
      <c r="C113"/>
    </row>
    <row r="114" spans="1:3">
      <c r="A114" s="83" t="s">
        <v>390</v>
      </c>
      <c r="B114" s="102">
        <v>103</v>
      </c>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sheetData>
  <sortState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C4:J15"/>
  <sheetViews>
    <sheetView showGridLines="0" tabSelected="1" workbookViewId="0">
      <selection activeCell="F14" sqref="F14:I14"/>
    </sheetView>
  </sheetViews>
  <sheetFormatPr baseColWidth="10" defaultColWidth="8.6640625" defaultRowHeight="14.4"/>
  <cols>
    <col min="3" max="3" width="3.109375" style="38" customWidth="1"/>
    <col min="4" max="4" width="7.44140625" style="38" customWidth="1"/>
    <col min="5" max="5" width="7.33203125" customWidth="1"/>
  </cols>
  <sheetData>
    <row r="4" spans="3:10" ht="26.25" customHeight="1">
      <c r="C4" s="254" t="s">
        <v>403</v>
      </c>
      <c r="D4" s="255"/>
      <c r="E4" s="252" t="s">
        <v>192</v>
      </c>
      <c r="F4" s="252"/>
      <c r="G4" s="252"/>
      <c r="H4" s="252"/>
      <c r="I4" s="252"/>
      <c r="J4" s="56" t="s">
        <v>404</v>
      </c>
    </row>
    <row r="6" spans="3:10" ht="26.25" customHeight="1">
      <c r="C6" s="249" t="s">
        <v>405</v>
      </c>
      <c r="D6" s="249"/>
      <c r="E6" s="250"/>
      <c r="F6" s="256" t="s">
        <v>583</v>
      </c>
      <c r="G6" s="256"/>
      <c r="H6" s="256"/>
      <c r="I6" s="256"/>
    </row>
    <row r="7" spans="3:10" ht="26.25" customHeight="1">
      <c r="D7" s="249" t="s">
        <v>16</v>
      </c>
      <c r="E7" s="250"/>
      <c r="F7" s="257"/>
      <c r="G7" s="257"/>
      <c r="H7" s="257"/>
      <c r="I7" s="257"/>
    </row>
    <row r="8" spans="3:10" ht="26.25" customHeight="1">
      <c r="D8" s="249" t="s">
        <v>17</v>
      </c>
      <c r="E8" s="250"/>
      <c r="F8" s="257" t="s">
        <v>581</v>
      </c>
      <c r="G8" s="257"/>
      <c r="H8" s="257"/>
      <c r="I8" s="257"/>
    </row>
    <row r="9" spans="3:10">
      <c r="E9" s="39"/>
      <c r="F9" s="38"/>
      <c r="G9" s="38"/>
      <c r="H9" s="38"/>
      <c r="I9" s="38"/>
    </row>
    <row r="10" spans="3:10" ht="26.25" customHeight="1">
      <c r="C10" s="249" t="s">
        <v>405</v>
      </c>
      <c r="D10" s="249"/>
      <c r="E10" s="250"/>
      <c r="F10" s="251" t="s">
        <v>582</v>
      </c>
      <c r="G10" s="251"/>
      <c r="H10" s="251"/>
      <c r="I10" s="251"/>
    </row>
    <row r="11" spans="3:10" ht="26.25" customHeight="1">
      <c r="D11" s="249" t="s">
        <v>16</v>
      </c>
      <c r="E11" s="250"/>
      <c r="F11" s="251"/>
      <c r="G11" s="251"/>
      <c r="H11" s="251"/>
      <c r="I11" s="251"/>
    </row>
    <row r="12" spans="3:10" ht="26.25" customHeight="1">
      <c r="D12" s="249" t="s">
        <v>17</v>
      </c>
      <c r="E12" s="250"/>
      <c r="F12" s="251" t="s">
        <v>580</v>
      </c>
      <c r="G12" s="251"/>
      <c r="H12" s="251"/>
      <c r="I12" s="251"/>
    </row>
    <row r="13" spans="3:10">
      <c r="E13" s="39"/>
      <c r="F13" s="38"/>
      <c r="G13" s="38"/>
      <c r="H13" s="38"/>
      <c r="I13" s="38"/>
    </row>
    <row r="14" spans="3:10" ht="26.25" customHeight="1">
      <c r="C14" s="249" t="s">
        <v>406</v>
      </c>
      <c r="D14" s="249"/>
      <c r="E14" s="250"/>
      <c r="F14" s="253">
        <v>42628</v>
      </c>
      <c r="G14" s="253"/>
      <c r="H14" s="253"/>
      <c r="I14" s="253"/>
    </row>
    <row r="15" spans="3:10">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1:A267"/>
  <sheetViews>
    <sheetView workbookViewId="0">
      <selection activeCell="B22" sqref="B22"/>
    </sheetView>
  </sheetViews>
  <sheetFormatPr baseColWidth="10" defaultColWidth="8.6640625" defaultRowHeight="14.4"/>
  <cols>
    <col min="1" max="1" width="24.44140625" bestFit="1" customWidth="1"/>
  </cols>
  <sheetData>
    <row r="1" spans="1:1">
      <c r="A1" t="s">
        <v>18</v>
      </c>
    </row>
    <row r="2" spans="1:1">
      <c r="A2" t="s">
        <v>19</v>
      </c>
    </row>
    <row r="3" spans="1:1">
      <c r="A3" t="s">
        <v>20</v>
      </c>
    </row>
    <row r="4" spans="1:1">
      <c r="A4" t="s">
        <v>21</v>
      </c>
    </row>
    <row r="5" spans="1:1">
      <c r="A5" t="s">
        <v>22</v>
      </c>
    </row>
    <row r="6" spans="1:1">
      <c r="A6" t="s">
        <v>23</v>
      </c>
    </row>
    <row r="7" spans="1:1">
      <c r="A7" t="s">
        <v>24</v>
      </c>
    </row>
    <row r="8" spans="1:1">
      <c r="A8" t="s">
        <v>25</v>
      </c>
    </row>
    <row r="9" spans="1:1">
      <c r="A9" t="s">
        <v>26</v>
      </c>
    </row>
    <row r="10" spans="1:1">
      <c r="A10" t="s">
        <v>27</v>
      </c>
    </row>
    <row r="11" spans="1:1">
      <c r="A11" t="s">
        <v>28</v>
      </c>
    </row>
    <row r="12" spans="1:1">
      <c r="A12" t="s">
        <v>29</v>
      </c>
    </row>
    <row r="13" spans="1:1">
      <c r="A13" t="s">
        <v>30</v>
      </c>
    </row>
    <row r="14" spans="1:1">
      <c r="A14" t="s">
        <v>31</v>
      </c>
    </row>
    <row r="15" spans="1:1">
      <c r="A15" t="s">
        <v>32</v>
      </c>
    </row>
    <row r="16" spans="1:1">
      <c r="A16" t="s">
        <v>33</v>
      </c>
    </row>
    <row r="17" spans="1:1">
      <c r="A17" t="s">
        <v>34</v>
      </c>
    </row>
    <row r="18" spans="1:1">
      <c r="A18" t="s">
        <v>35</v>
      </c>
    </row>
    <row r="19" spans="1:1">
      <c r="A19" t="s">
        <v>36</v>
      </c>
    </row>
    <row r="20" spans="1:1">
      <c r="A20" t="s">
        <v>37</v>
      </c>
    </row>
    <row r="21" spans="1:1">
      <c r="A21" t="s">
        <v>38</v>
      </c>
    </row>
    <row r="22" spans="1:1">
      <c r="A22" t="s">
        <v>39</v>
      </c>
    </row>
    <row r="23" spans="1:1">
      <c r="A23" t="s">
        <v>40</v>
      </c>
    </row>
    <row r="24" spans="1:1">
      <c r="A24" t="s">
        <v>41</v>
      </c>
    </row>
    <row r="25" spans="1:1">
      <c r="A25" t="s">
        <v>42</v>
      </c>
    </row>
    <row r="26" spans="1:1">
      <c r="A26" t="s">
        <v>43</v>
      </c>
    </row>
    <row r="27" spans="1:1">
      <c r="A27" t="s">
        <v>44</v>
      </c>
    </row>
    <row r="28" spans="1:1">
      <c r="A28" t="s">
        <v>45</v>
      </c>
    </row>
    <row r="29" spans="1:1">
      <c r="A29" t="s">
        <v>46</v>
      </c>
    </row>
    <row r="30" spans="1:1">
      <c r="A30" t="s">
        <v>47</v>
      </c>
    </row>
    <row r="31" spans="1:1">
      <c r="A31" t="s">
        <v>48</v>
      </c>
    </row>
    <row r="32" spans="1:1">
      <c r="A32" t="s">
        <v>49</v>
      </c>
    </row>
    <row r="33" spans="1:1">
      <c r="A33" t="s">
        <v>50</v>
      </c>
    </row>
    <row r="34" spans="1:1">
      <c r="A34" t="s">
        <v>51</v>
      </c>
    </row>
    <row r="35" spans="1:1">
      <c r="A35" t="s">
        <v>52</v>
      </c>
    </row>
    <row r="36" spans="1:1">
      <c r="A36" t="s">
        <v>53</v>
      </c>
    </row>
    <row r="37" spans="1:1">
      <c r="A37" t="s">
        <v>54</v>
      </c>
    </row>
    <row r="38" spans="1:1">
      <c r="A38" t="s">
        <v>55</v>
      </c>
    </row>
    <row r="39" spans="1:1">
      <c r="A39" t="s">
        <v>56</v>
      </c>
    </row>
    <row r="40" spans="1:1">
      <c r="A40" t="s">
        <v>57</v>
      </c>
    </row>
    <row r="41" spans="1:1">
      <c r="A41" t="s">
        <v>58</v>
      </c>
    </row>
    <row r="42" spans="1:1">
      <c r="A42" t="s">
        <v>59</v>
      </c>
    </row>
    <row r="43" spans="1:1">
      <c r="A43" t="s">
        <v>60</v>
      </c>
    </row>
    <row r="44" spans="1:1">
      <c r="A44" t="s">
        <v>61</v>
      </c>
    </row>
    <row r="45" spans="1:1">
      <c r="A45" t="s">
        <v>62</v>
      </c>
    </row>
    <row r="46" spans="1:1">
      <c r="A46" t="s">
        <v>63</v>
      </c>
    </row>
    <row r="47" spans="1:1">
      <c r="A47" t="s">
        <v>64</v>
      </c>
    </row>
    <row r="48" spans="1:1">
      <c r="A48" t="s">
        <v>65</v>
      </c>
    </row>
    <row r="49" spans="1:1">
      <c r="A49" t="s">
        <v>66</v>
      </c>
    </row>
    <row r="50" spans="1:1">
      <c r="A50" t="s">
        <v>67</v>
      </c>
    </row>
    <row r="51" spans="1:1">
      <c r="A51" t="s">
        <v>68</v>
      </c>
    </row>
    <row r="52" spans="1:1">
      <c r="A52" t="s">
        <v>69</v>
      </c>
    </row>
    <row r="53" spans="1:1">
      <c r="A53" t="s">
        <v>70</v>
      </c>
    </row>
    <row r="54" spans="1:1">
      <c r="A54" t="s">
        <v>71</v>
      </c>
    </row>
    <row r="55" spans="1:1">
      <c r="A55" t="s">
        <v>72</v>
      </c>
    </row>
    <row r="56" spans="1:1">
      <c r="A56" t="s">
        <v>73</v>
      </c>
    </row>
    <row r="57" spans="1:1">
      <c r="A57" t="s">
        <v>74</v>
      </c>
    </row>
    <row r="58" spans="1:1">
      <c r="A58" t="s">
        <v>75</v>
      </c>
    </row>
    <row r="59" spans="1:1">
      <c r="A59" t="s">
        <v>76</v>
      </c>
    </row>
    <row r="60" spans="1:1">
      <c r="A60" t="s">
        <v>77</v>
      </c>
    </row>
    <row r="61" spans="1:1">
      <c r="A61" t="s">
        <v>78</v>
      </c>
    </row>
    <row r="62" spans="1:1">
      <c r="A62" t="s">
        <v>79</v>
      </c>
    </row>
    <row r="63" spans="1:1">
      <c r="A63" t="s">
        <v>80</v>
      </c>
    </row>
    <row r="64" spans="1:1">
      <c r="A64" t="s">
        <v>81</v>
      </c>
    </row>
    <row r="65" spans="1:1">
      <c r="A65" t="s">
        <v>82</v>
      </c>
    </row>
    <row r="66" spans="1:1">
      <c r="A66" t="s">
        <v>83</v>
      </c>
    </row>
    <row r="67" spans="1:1">
      <c r="A67" t="s">
        <v>84</v>
      </c>
    </row>
    <row r="68" spans="1:1">
      <c r="A68" t="s">
        <v>85</v>
      </c>
    </row>
    <row r="69" spans="1:1">
      <c r="A69" t="s">
        <v>86</v>
      </c>
    </row>
    <row r="70" spans="1:1">
      <c r="A70" t="s">
        <v>87</v>
      </c>
    </row>
    <row r="71" spans="1:1">
      <c r="A71" t="s">
        <v>88</v>
      </c>
    </row>
    <row r="72" spans="1:1">
      <c r="A72" t="s">
        <v>89</v>
      </c>
    </row>
    <row r="73" spans="1:1">
      <c r="A73" t="s">
        <v>90</v>
      </c>
    </row>
    <row r="74" spans="1:1">
      <c r="A74" t="s">
        <v>91</v>
      </c>
    </row>
    <row r="75" spans="1:1">
      <c r="A75" t="s">
        <v>92</v>
      </c>
    </row>
    <row r="76" spans="1:1">
      <c r="A76" t="s">
        <v>93</v>
      </c>
    </row>
    <row r="77" spans="1:1">
      <c r="A77" t="s">
        <v>94</v>
      </c>
    </row>
    <row r="78" spans="1:1">
      <c r="A78" t="s">
        <v>95</v>
      </c>
    </row>
    <row r="79" spans="1:1">
      <c r="A79" t="s">
        <v>96</v>
      </c>
    </row>
    <row r="80" spans="1:1">
      <c r="A80" t="s">
        <v>97</v>
      </c>
    </row>
    <row r="81" spans="1:1">
      <c r="A81" t="s">
        <v>98</v>
      </c>
    </row>
    <row r="82" spans="1:1">
      <c r="A82" t="s">
        <v>99</v>
      </c>
    </row>
    <row r="83" spans="1:1">
      <c r="A83" t="s">
        <v>100</v>
      </c>
    </row>
    <row r="84" spans="1:1">
      <c r="A84" t="s">
        <v>101</v>
      </c>
    </row>
    <row r="85" spans="1:1">
      <c r="A85" t="s">
        <v>102</v>
      </c>
    </row>
    <row r="86" spans="1:1">
      <c r="A86" t="s">
        <v>103</v>
      </c>
    </row>
    <row r="87" spans="1:1">
      <c r="A87" t="s">
        <v>104</v>
      </c>
    </row>
    <row r="88" spans="1:1">
      <c r="A88" t="s">
        <v>105</v>
      </c>
    </row>
    <row r="89" spans="1:1">
      <c r="A89" t="s">
        <v>106</v>
      </c>
    </row>
    <row r="90" spans="1:1">
      <c r="A90" t="s">
        <v>107</v>
      </c>
    </row>
    <row r="91" spans="1:1">
      <c r="A91" t="s">
        <v>108</v>
      </c>
    </row>
    <row r="92" spans="1:1">
      <c r="A92" t="s">
        <v>109</v>
      </c>
    </row>
    <row r="93" spans="1:1">
      <c r="A93" t="s">
        <v>110</v>
      </c>
    </row>
    <row r="94" spans="1:1">
      <c r="A94" t="s">
        <v>111</v>
      </c>
    </row>
    <row r="95" spans="1:1">
      <c r="A95" t="s">
        <v>112</v>
      </c>
    </row>
    <row r="96" spans="1:1">
      <c r="A96" t="s">
        <v>113</v>
      </c>
    </row>
    <row r="97" spans="1:1">
      <c r="A97" t="s">
        <v>114</v>
      </c>
    </row>
    <row r="98" spans="1:1">
      <c r="A98" t="s">
        <v>115</v>
      </c>
    </row>
    <row r="99" spans="1:1">
      <c r="A99" t="s">
        <v>116</v>
      </c>
    </row>
    <row r="100" spans="1:1">
      <c r="A100" t="s">
        <v>117</v>
      </c>
    </row>
    <row r="101" spans="1:1">
      <c r="A101" t="s">
        <v>118</v>
      </c>
    </row>
    <row r="102" spans="1:1">
      <c r="A102" t="s">
        <v>119</v>
      </c>
    </row>
    <row r="103" spans="1:1">
      <c r="A103" t="s">
        <v>120</v>
      </c>
    </row>
    <row r="104" spans="1:1">
      <c r="A104" t="s">
        <v>121</v>
      </c>
    </row>
    <row r="105" spans="1:1">
      <c r="A105" t="s">
        <v>122</v>
      </c>
    </row>
    <row r="106" spans="1:1">
      <c r="A106" t="s">
        <v>123</v>
      </c>
    </row>
    <row r="107" spans="1:1">
      <c r="A107" t="s">
        <v>124</v>
      </c>
    </row>
    <row r="108" spans="1:1">
      <c r="A108" t="s">
        <v>125</v>
      </c>
    </row>
    <row r="109" spans="1:1">
      <c r="A109" t="s">
        <v>126</v>
      </c>
    </row>
    <row r="110" spans="1:1">
      <c r="A110" t="s">
        <v>127</v>
      </c>
    </row>
    <row r="111" spans="1:1">
      <c r="A111" t="s">
        <v>128</v>
      </c>
    </row>
    <row r="112" spans="1:1">
      <c r="A112" t="s">
        <v>129</v>
      </c>
    </row>
    <row r="113" spans="1:1">
      <c r="A113" t="s">
        <v>130</v>
      </c>
    </row>
    <row r="114" spans="1:1">
      <c r="A114" t="s">
        <v>131</v>
      </c>
    </row>
    <row r="115" spans="1:1">
      <c r="A115" t="s">
        <v>132</v>
      </c>
    </row>
    <row r="116" spans="1:1">
      <c r="A116" t="s">
        <v>133</v>
      </c>
    </row>
    <row r="117" spans="1:1">
      <c r="A117" t="s">
        <v>134</v>
      </c>
    </row>
    <row r="118" spans="1:1">
      <c r="A118" t="s">
        <v>135</v>
      </c>
    </row>
    <row r="119" spans="1:1">
      <c r="A119" t="s">
        <v>136</v>
      </c>
    </row>
    <row r="120" spans="1:1">
      <c r="A120" t="s">
        <v>137</v>
      </c>
    </row>
    <row r="121" spans="1:1">
      <c r="A121" t="s">
        <v>138</v>
      </c>
    </row>
    <row r="122" spans="1:1">
      <c r="A122" t="s">
        <v>139</v>
      </c>
    </row>
    <row r="123" spans="1:1">
      <c r="A123" t="s">
        <v>140</v>
      </c>
    </row>
    <row r="124" spans="1:1">
      <c r="A124" t="s">
        <v>141</v>
      </c>
    </row>
    <row r="125" spans="1:1">
      <c r="A125" t="s">
        <v>142</v>
      </c>
    </row>
    <row r="126" spans="1:1">
      <c r="A126" t="s">
        <v>143</v>
      </c>
    </row>
    <row r="127" spans="1:1">
      <c r="A127" t="s">
        <v>144</v>
      </c>
    </row>
    <row r="128" spans="1:1">
      <c r="A128" t="s">
        <v>145</v>
      </c>
    </row>
    <row r="129" spans="1:1">
      <c r="A129" t="s">
        <v>146</v>
      </c>
    </row>
    <row r="130" spans="1:1">
      <c r="A130" t="s">
        <v>147</v>
      </c>
    </row>
    <row r="131" spans="1:1">
      <c r="A131" t="s">
        <v>148</v>
      </c>
    </row>
    <row r="132" spans="1:1">
      <c r="A132" t="s">
        <v>149</v>
      </c>
    </row>
    <row r="133" spans="1:1">
      <c r="A133" t="s">
        <v>150</v>
      </c>
    </row>
    <row r="134" spans="1:1">
      <c r="A134" t="s">
        <v>151</v>
      </c>
    </row>
    <row r="135" spans="1:1">
      <c r="A135" t="s">
        <v>152</v>
      </c>
    </row>
    <row r="136" spans="1:1">
      <c r="A136" t="s">
        <v>153</v>
      </c>
    </row>
    <row r="137" spans="1:1">
      <c r="A137" t="s">
        <v>154</v>
      </c>
    </row>
    <row r="138" spans="1:1">
      <c r="A138" t="s">
        <v>155</v>
      </c>
    </row>
    <row r="139" spans="1:1">
      <c r="A139" t="s">
        <v>156</v>
      </c>
    </row>
    <row r="140" spans="1:1">
      <c r="A140" t="s">
        <v>157</v>
      </c>
    </row>
    <row r="141" spans="1:1">
      <c r="A141" t="s">
        <v>158</v>
      </c>
    </row>
    <row r="142" spans="1:1">
      <c r="A142" t="s">
        <v>159</v>
      </c>
    </row>
    <row r="143" spans="1:1">
      <c r="A143" t="s">
        <v>160</v>
      </c>
    </row>
    <row r="144" spans="1:1">
      <c r="A144" t="s">
        <v>161</v>
      </c>
    </row>
    <row r="145" spans="1:1">
      <c r="A145" t="s">
        <v>162</v>
      </c>
    </row>
    <row r="146" spans="1:1">
      <c r="A146" t="s">
        <v>163</v>
      </c>
    </row>
    <row r="147" spans="1:1">
      <c r="A147" t="s">
        <v>164</v>
      </c>
    </row>
    <row r="148" spans="1:1">
      <c r="A148" t="s">
        <v>165</v>
      </c>
    </row>
    <row r="149" spans="1:1">
      <c r="A149" t="s">
        <v>166</v>
      </c>
    </row>
    <row r="150" spans="1:1">
      <c r="A150" t="s">
        <v>167</v>
      </c>
    </row>
    <row r="151" spans="1:1">
      <c r="A151" t="s">
        <v>168</v>
      </c>
    </row>
    <row r="152" spans="1:1">
      <c r="A152" t="s">
        <v>169</v>
      </c>
    </row>
    <row r="153" spans="1:1">
      <c r="A153" t="s">
        <v>170</v>
      </c>
    </row>
    <row r="154" spans="1:1">
      <c r="A154" t="s">
        <v>171</v>
      </c>
    </row>
    <row r="155" spans="1:1">
      <c r="A155" t="s">
        <v>172</v>
      </c>
    </row>
    <row r="156" spans="1:1">
      <c r="A156" t="s">
        <v>173</v>
      </c>
    </row>
    <row r="157" spans="1:1">
      <c r="A157" t="s">
        <v>174</v>
      </c>
    </row>
    <row r="158" spans="1:1">
      <c r="A158" t="s">
        <v>175</v>
      </c>
    </row>
    <row r="159" spans="1:1">
      <c r="A159" t="s">
        <v>176</v>
      </c>
    </row>
    <row r="160" spans="1:1">
      <c r="A160" t="s">
        <v>177</v>
      </c>
    </row>
    <row r="161" spans="1:1">
      <c r="A161" t="s">
        <v>178</v>
      </c>
    </row>
    <row r="162" spans="1:1">
      <c r="A162" t="s">
        <v>179</v>
      </c>
    </row>
    <row r="163" spans="1:1">
      <c r="A163" t="s">
        <v>180</v>
      </c>
    </row>
    <row r="164" spans="1:1">
      <c r="A164" t="s">
        <v>181</v>
      </c>
    </row>
    <row r="165" spans="1:1">
      <c r="A165" t="s">
        <v>182</v>
      </c>
    </row>
    <row r="166" spans="1:1">
      <c r="A166" t="s">
        <v>183</v>
      </c>
    </row>
    <row r="167" spans="1:1">
      <c r="A167" t="s">
        <v>184</v>
      </c>
    </row>
    <row r="168" spans="1:1">
      <c r="A168" t="s">
        <v>185</v>
      </c>
    </row>
    <row r="169" spans="1:1">
      <c r="A169" t="s">
        <v>186</v>
      </c>
    </row>
    <row r="170" spans="1:1">
      <c r="A170" t="s">
        <v>187</v>
      </c>
    </row>
    <row r="171" spans="1:1">
      <c r="A171" t="s">
        <v>188</v>
      </c>
    </row>
    <row r="172" spans="1:1">
      <c r="A172" t="s">
        <v>189</v>
      </c>
    </row>
    <row r="173" spans="1:1">
      <c r="A173" t="s">
        <v>190</v>
      </c>
    </row>
    <row r="174" spans="1:1">
      <c r="A174" t="s">
        <v>191</v>
      </c>
    </row>
    <row r="175" spans="1:1">
      <c r="A175" t="s">
        <v>192</v>
      </c>
    </row>
    <row r="176" spans="1:1">
      <c r="A176" t="s">
        <v>193</v>
      </c>
    </row>
    <row r="177" spans="1:1">
      <c r="A177" t="s">
        <v>194</v>
      </c>
    </row>
    <row r="178" spans="1:1">
      <c r="A178" t="s">
        <v>195</v>
      </c>
    </row>
    <row r="179" spans="1:1">
      <c r="A179" t="s">
        <v>196</v>
      </c>
    </row>
    <row r="180" spans="1:1">
      <c r="A180" t="s">
        <v>197</v>
      </c>
    </row>
    <row r="181" spans="1:1">
      <c r="A181" t="s">
        <v>198</v>
      </c>
    </row>
    <row r="182" spans="1:1">
      <c r="A182" t="s">
        <v>199</v>
      </c>
    </row>
    <row r="183" spans="1:1">
      <c r="A183" t="s">
        <v>200</v>
      </c>
    </row>
    <row r="184" spans="1:1">
      <c r="A184" t="s">
        <v>201</v>
      </c>
    </row>
    <row r="185" spans="1:1">
      <c r="A185" t="s">
        <v>202</v>
      </c>
    </row>
    <row r="186" spans="1:1">
      <c r="A186" t="s">
        <v>203</v>
      </c>
    </row>
    <row r="187" spans="1:1">
      <c r="A187" t="s">
        <v>204</v>
      </c>
    </row>
    <row r="188" spans="1:1">
      <c r="A188" t="s">
        <v>205</v>
      </c>
    </row>
    <row r="189" spans="1:1">
      <c r="A189" t="s">
        <v>206</v>
      </c>
    </row>
    <row r="190" spans="1:1">
      <c r="A190" t="s">
        <v>207</v>
      </c>
    </row>
    <row r="191" spans="1:1">
      <c r="A191" t="s">
        <v>208</v>
      </c>
    </row>
    <row r="192" spans="1:1">
      <c r="A192" t="s">
        <v>209</v>
      </c>
    </row>
    <row r="193" spans="1:1">
      <c r="A193" t="s">
        <v>210</v>
      </c>
    </row>
    <row r="194" spans="1:1">
      <c r="A194" t="s">
        <v>211</v>
      </c>
    </row>
    <row r="195" spans="1:1">
      <c r="A195" t="s">
        <v>212</v>
      </c>
    </row>
    <row r="196" spans="1:1">
      <c r="A196" t="s">
        <v>213</v>
      </c>
    </row>
    <row r="197" spans="1:1">
      <c r="A197" t="s">
        <v>214</v>
      </c>
    </row>
    <row r="198" spans="1:1">
      <c r="A198" t="s">
        <v>215</v>
      </c>
    </row>
    <row r="199" spans="1:1">
      <c r="A199" t="s">
        <v>216</v>
      </c>
    </row>
    <row r="200" spans="1:1">
      <c r="A200" t="s">
        <v>217</v>
      </c>
    </row>
    <row r="201" spans="1:1">
      <c r="A201" t="s">
        <v>218</v>
      </c>
    </row>
    <row r="202" spans="1:1">
      <c r="A202" t="s">
        <v>219</v>
      </c>
    </row>
    <row r="203" spans="1:1">
      <c r="A203" t="s">
        <v>220</v>
      </c>
    </row>
    <row r="204" spans="1:1">
      <c r="A204" t="s">
        <v>221</v>
      </c>
    </row>
    <row r="205" spans="1:1">
      <c r="A205" t="s">
        <v>222</v>
      </c>
    </row>
    <row r="206" spans="1:1">
      <c r="A206" t="s">
        <v>223</v>
      </c>
    </row>
    <row r="207" spans="1:1">
      <c r="A207" t="s">
        <v>224</v>
      </c>
    </row>
    <row r="208" spans="1:1">
      <c r="A208" t="s">
        <v>225</v>
      </c>
    </row>
    <row r="209" spans="1:1">
      <c r="A209" t="s">
        <v>226</v>
      </c>
    </row>
    <row r="210" spans="1:1">
      <c r="A210" t="s">
        <v>227</v>
      </c>
    </row>
    <row r="211" spans="1:1">
      <c r="A211" t="s">
        <v>228</v>
      </c>
    </row>
    <row r="212" spans="1:1">
      <c r="A212" t="s">
        <v>229</v>
      </c>
    </row>
    <row r="213" spans="1:1">
      <c r="A213" t="s">
        <v>230</v>
      </c>
    </row>
    <row r="214" spans="1:1">
      <c r="A214" t="s">
        <v>231</v>
      </c>
    </row>
    <row r="215" spans="1:1">
      <c r="A215" t="s">
        <v>232</v>
      </c>
    </row>
    <row r="216" spans="1:1">
      <c r="A216" t="s">
        <v>233</v>
      </c>
    </row>
    <row r="217" spans="1:1">
      <c r="A217" t="s">
        <v>234</v>
      </c>
    </row>
    <row r="218" spans="1:1">
      <c r="A218" t="s">
        <v>235</v>
      </c>
    </row>
    <row r="219" spans="1:1">
      <c r="A219" t="s">
        <v>236</v>
      </c>
    </row>
    <row r="220" spans="1:1">
      <c r="A220" t="s">
        <v>237</v>
      </c>
    </row>
    <row r="221" spans="1:1">
      <c r="A221" t="s">
        <v>238</v>
      </c>
    </row>
    <row r="222" spans="1:1">
      <c r="A222" t="s">
        <v>239</v>
      </c>
    </row>
    <row r="223" spans="1:1">
      <c r="A223" t="s">
        <v>240</v>
      </c>
    </row>
    <row r="224" spans="1:1">
      <c r="A224" t="s">
        <v>241</v>
      </c>
    </row>
    <row r="225" spans="1:1">
      <c r="A225" t="s">
        <v>242</v>
      </c>
    </row>
    <row r="226" spans="1:1">
      <c r="A226" t="s">
        <v>243</v>
      </c>
    </row>
    <row r="227" spans="1:1">
      <c r="A227" t="s">
        <v>244</v>
      </c>
    </row>
    <row r="228" spans="1:1">
      <c r="A228" t="s">
        <v>245</v>
      </c>
    </row>
    <row r="229" spans="1:1">
      <c r="A229" t="s">
        <v>246</v>
      </c>
    </row>
    <row r="230" spans="1:1">
      <c r="A230" t="s">
        <v>247</v>
      </c>
    </row>
    <row r="231" spans="1:1">
      <c r="A231" t="s">
        <v>248</v>
      </c>
    </row>
    <row r="232" spans="1:1">
      <c r="A232" t="s">
        <v>249</v>
      </c>
    </row>
    <row r="233" spans="1:1">
      <c r="A233" t="s">
        <v>250</v>
      </c>
    </row>
    <row r="234" spans="1:1">
      <c r="A234" t="s">
        <v>251</v>
      </c>
    </row>
    <row r="235" spans="1:1">
      <c r="A235" t="s">
        <v>252</v>
      </c>
    </row>
    <row r="236" spans="1:1">
      <c r="A236" t="s">
        <v>253</v>
      </c>
    </row>
    <row r="237" spans="1:1">
      <c r="A237" t="s">
        <v>254</v>
      </c>
    </row>
    <row r="238" spans="1:1">
      <c r="A238" t="s">
        <v>255</v>
      </c>
    </row>
    <row r="239" spans="1:1">
      <c r="A239" t="s">
        <v>256</v>
      </c>
    </row>
    <row r="240" spans="1:1">
      <c r="A240" t="s">
        <v>257</v>
      </c>
    </row>
    <row r="241" spans="1:1">
      <c r="A241" t="s">
        <v>258</v>
      </c>
    </row>
    <row r="242" spans="1:1">
      <c r="A242" t="s">
        <v>259</v>
      </c>
    </row>
    <row r="243" spans="1:1">
      <c r="A243" t="s">
        <v>260</v>
      </c>
    </row>
    <row r="244" spans="1:1">
      <c r="A244" t="s">
        <v>261</v>
      </c>
    </row>
    <row r="245" spans="1:1">
      <c r="A245" t="s">
        <v>262</v>
      </c>
    </row>
    <row r="246" spans="1:1">
      <c r="A246" t="s">
        <v>263</v>
      </c>
    </row>
    <row r="247" spans="1:1">
      <c r="A247" t="s">
        <v>264</v>
      </c>
    </row>
    <row r="248" spans="1:1">
      <c r="A248" t="s">
        <v>265</v>
      </c>
    </row>
    <row r="249" spans="1:1">
      <c r="A249" t="s">
        <v>266</v>
      </c>
    </row>
    <row r="250" spans="1:1">
      <c r="A250" t="s">
        <v>267</v>
      </c>
    </row>
    <row r="251" spans="1:1">
      <c r="A251" t="s">
        <v>268</v>
      </c>
    </row>
    <row r="252" spans="1:1">
      <c r="A252" t="s">
        <v>269</v>
      </c>
    </row>
    <row r="253" spans="1:1">
      <c r="A253" t="s">
        <v>270</v>
      </c>
    </row>
    <row r="254" spans="1:1">
      <c r="A254" t="s">
        <v>271</v>
      </c>
    </row>
    <row r="255" spans="1:1">
      <c r="A255" t="s">
        <v>272</v>
      </c>
    </row>
    <row r="256" spans="1:1">
      <c r="A256" t="s">
        <v>273</v>
      </c>
    </row>
    <row r="257" spans="1:1">
      <c r="A257" t="s">
        <v>274</v>
      </c>
    </row>
    <row r="258" spans="1:1">
      <c r="A258" t="s">
        <v>275</v>
      </c>
    </row>
    <row r="259" spans="1:1">
      <c r="A259" t="s">
        <v>276</v>
      </c>
    </row>
    <row r="260" spans="1:1">
      <c r="A260" t="s">
        <v>277</v>
      </c>
    </row>
    <row r="261" spans="1:1">
      <c r="A261" t="s">
        <v>278</v>
      </c>
    </row>
    <row r="262" spans="1:1">
      <c r="A262" t="s">
        <v>279</v>
      </c>
    </row>
    <row r="263" spans="1:1">
      <c r="A263" t="s">
        <v>280</v>
      </c>
    </row>
    <row r="264" spans="1:1">
      <c r="A264" t="s">
        <v>281</v>
      </c>
    </row>
    <row r="265" spans="1:1">
      <c r="A265" t="s">
        <v>282</v>
      </c>
    </row>
    <row r="266" spans="1:1">
      <c r="A266" t="s">
        <v>283</v>
      </c>
    </row>
    <row r="267" spans="1:1">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G21"/>
  <sheetViews>
    <sheetView showGridLines="0" topLeftCell="A11" workbookViewId="0">
      <selection activeCell="E18" sqref="E18"/>
    </sheetView>
  </sheetViews>
  <sheetFormatPr baseColWidth="10" defaultColWidth="8.6640625" defaultRowHeight="14.4"/>
  <cols>
    <col min="1" max="1" width="9.109375" style="4" customWidth="1"/>
    <col min="2" max="2" width="14.6640625" style="5" customWidth="1"/>
    <col min="3" max="3" width="56" style="5" customWidth="1"/>
    <col min="4" max="4" width="50.33203125" style="5" customWidth="1"/>
    <col min="6" max="6" width="38.6640625" customWidth="1"/>
    <col min="7" max="7" width="79.44140625" style="61" customWidth="1"/>
  </cols>
  <sheetData>
    <row r="1" spans="1:7" ht="15.6">
      <c r="A1" s="10" t="s">
        <v>407</v>
      </c>
    </row>
    <row r="2" spans="1:7">
      <c r="A2" s="2" t="s">
        <v>408</v>
      </c>
    </row>
    <row r="3" spans="1:7">
      <c r="A3" s="2"/>
    </row>
    <row r="4" spans="1:7" s="1" customFormat="1" ht="28.8">
      <c r="A4" s="31" t="s">
        <v>409</v>
      </c>
      <c r="B4" s="35" t="s">
        <v>13</v>
      </c>
      <c r="C4" s="201" t="s">
        <v>410</v>
      </c>
      <c r="D4" s="41" t="s">
        <v>411</v>
      </c>
      <c r="E4" s="33" t="s">
        <v>1</v>
      </c>
      <c r="F4" s="34" t="s">
        <v>412</v>
      </c>
      <c r="G4" s="62"/>
    </row>
    <row r="5" spans="1:7" s="13" customFormat="1" ht="28.8">
      <c r="A5" s="119">
        <v>0</v>
      </c>
      <c r="B5" s="258" t="s">
        <v>413</v>
      </c>
      <c r="C5" s="211" t="s">
        <v>420</v>
      </c>
      <c r="D5" s="120"/>
      <c r="E5" s="121">
        <v>1</v>
      </c>
      <c r="F5" s="122"/>
      <c r="G5" s="61"/>
    </row>
    <row r="6" spans="1:7" s="13" customFormat="1" ht="28.8">
      <c r="A6" s="123">
        <v>1</v>
      </c>
      <c r="B6" s="259"/>
      <c r="C6" s="212" t="s">
        <v>422</v>
      </c>
      <c r="D6" s="213" t="s">
        <v>415</v>
      </c>
      <c r="E6" s="124">
        <v>1</v>
      </c>
      <c r="F6" s="125"/>
      <c r="G6" s="61"/>
    </row>
    <row r="7" spans="1:7" s="13" customFormat="1" ht="28.8">
      <c r="A7" s="126">
        <v>2</v>
      </c>
      <c r="B7" s="260"/>
      <c r="C7" s="214" t="s">
        <v>423</v>
      </c>
      <c r="D7" s="215" t="s">
        <v>416</v>
      </c>
      <c r="E7" s="127">
        <v>1</v>
      </c>
      <c r="F7" s="128"/>
      <c r="G7" s="61"/>
    </row>
    <row r="8" spans="1:7" s="13" customFormat="1" ht="28.8">
      <c r="A8" s="119">
        <v>0</v>
      </c>
      <c r="B8" s="258" t="s">
        <v>421</v>
      </c>
      <c r="C8" s="216" t="s">
        <v>426</v>
      </c>
      <c r="D8" s="217"/>
      <c r="E8" s="121">
        <v>1</v>
      </c>
      <c r="F8" s="122"/>
      <c r="G8" s="61"/>
    </row>
    <row r="9" spans="1:7" s="13" customFormat="1" ht="28.8">
      <c r="A9" s="123">
        <v>1</v>
      </c>
      <c r="B9" s="259"/>
      <c r="C9" s="212" t="s">
        <v>425</v>
      </c>
      <c r="D9" s="218" t="s">
        <v>415</v>
      </c>
      <c r="E9" s="124">
        <v>1</v>
      </c>
      <c r="F9" s="125"/>
      <c r="G9" s="61"/>
    </row>
    <row r="10" spans="1:7" s="13" customFormat="1" ht="28.8">
      <c r="A10" s="126">
        <v>2</v>
      </c>
      <c r="B10" s="260"/>
      <c r="C10" s="214" t="s">
        <v>424</v>
      </c>
      <c r="D10" s="219" t="s">
        <v>416</v>
      </c>
      <c r="E10" s="127">
        <v>1</v>
      </c>
      <c r="F10" s="128"/>
      <c r="G10" s="61"/>
    </row>
    <row r="11" spans="1:7" s="13" customFormat="1" ht="28.8">
      <c r="A11" s="119">
        <v>0</v>
      </c>
      <c r="B11" s="261" t="s">
        <v>414</v>
      </c>
      <c r="C11" s="216" t="s">
        <v>427</v>
      </c>
      <c r="D11" s="217" t="s">
        <v>417</v>
      </c>
      <c r="E11" s="121">
        <v>1</v>
      </c>
      <c r="F11" s="122"/>
      <c r="G11" s="61"/>
    </row>
    <row r="12" spans="1:7" s="13" customFormat="1" ht="28.8">
      <c r="A12" s="123">
        <v>1</v>
      </c>
      <c r="B12" s="262"/>
      <c r="C12" s="212" t="s">
        <v>428</v>
      </c>
      <c r="D12" s="220" t="s">
        <v>418</v>
      </c>
      <c r="E12" s="124">
        <v>1</v>
      </c>
      <c r="F12" s="125"/>
      <c r="G12" s="61"/>
    </row>
    <row r="13" spans="1:7" s="13" customFormat="1" ht="28.8">
      <c r="A13" s="123">
        <v>1</v>
      </c>
      <c r="B13" s="262"/>
      <c r="C13" s="212" t="s">
        <v>429</v>
      </c>
      <c r="D13" s="220" t="s">
        <v>419</v>
      </c>
      <c r="E13" s="124">
        <v>0</v>
      </c>
      <c r="F13" s="125"/>
      <c r="G13" s="61"/>
    </row>
    <row r="14" spans="1:7" s="13" customFormat="1">
      <c r="A14" s="123">
        <v>1</v>
      </c>
      <c r="B14" s="262"/>
      <c r="C14" s="221" t="s">
        <v>430</v>
      </c>
      <c r="D14" s="220"/>
      <c r="E14" s="124">
        <v>1</v>
      </c>
      <c r="F14" s="125"/>
      <c r="G14" s="61"/>
    </row>
    <row r="15" spans="1:7" s="13" customFormat="1">
      <c r="A15" s="123">
        <v>1</v>
      </c>
      <c r="B15" s="262"/>
      <c r="C15" s="221" t="s">
        <v>431</v>
      </c>
      <c r="D15" s="220"/>
      <c r="E15" s="124">
        <v>1</v>
      </c>
      <c r="F15" s="125"/>
      <c r="G15" s="61"/>
    </row>
    <row r="16" spans="1:7" s="13" customFormat="1" ht="43.2">
      <c r="A16" s="123">
        <v>1</v>
      </c>
      <c r="B16" s="262"/>
      <c r="C16" s="212" t="s">
        <v>432</v>
      </c>
      <c r="D16" s="220"/>
      <c r="E16" s="124">
        <v>1</v>
      </c>
      <c r="F16" s="125"/>
      <c r="G16" s="61"/>
    </row>
    <row r="17" spans="1:7" s="13" customFormat="1" ht="28.8">
      <c r="A17" s="123">
        <v>1</v>
      </c>
      <c r="B17" s="262"/>
      <c r="C17" s="212" t="s">
        <v>433</v>
      </c>
      <c r="D17" s="220"/>
      <c r="E17" s="124">
        <v>1</v>
      </c>
      <c r="F17" s="125"/>
      <c r="G17" s="61"/>
    </row>
    <row r="18" spans="1:7" s="13" customFormat="1" ht="43.2">
      <c r="A18" s="123">
        <v>2</v>
      </c>
      <c r="B18" s="262"/>
      <c r="C18" s="222" t="s">
        <v>573</v>
      </c>
      <c r="D18" s="220"/>
      <c r="E18" s="124">
        <v>1</v>
      </c>
      <c r="F18" s="125"/>
      <c r="G18" s="61"/>
    </row>
    <row r="19" spans="1:7" s="13" customFormat="1">
      <c r="A19" s="126">
        <v>4</v>
      </c>
      <c r="B19" s="263"/>
      <c r="C19" s="223" t="s">
        <v>434</v>
      </c>
      <c r="D19" s="224"/>
      <c r="E19" s="127">
        <v>0</v>
      </c>
      <c r="F19" s="128"/>
      <c r="G19" s="61"/>
    </row>
    <row r="20" spans="1:7" s="13" customFormat="1">
      <c r="B20" s="7"/>
      <c r="C20" s="7"/>
      <c r="D20" s="7"/>
      <c r="G20" s="61"/>
    </row>
    <row r="21" spans="1:7">
      <c r="E21" s="21"/>
    </row>
  </sheetData>
  <sheetProtection algorithmName="SHA-512" hashValue="v39J8C3E0Pl5+waSPIJhYoqBBQE2hPc9LM+EvmVvuC7/fa0AEhAWNqYqf4ho/VHlgUPCiCk6rd0TDCze55oN+g==" saltValue="lCOIeqZVdBtTuNsVVqdOsQ==" spinCount="100000"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G26"/>
  <sheetViews>
    <sheetView showGridLines="0" topLeftCell="A16" workbookViewId="0">
      <selection activeCell="E20" sqref="E20"/>
    </sheetView>
  </sheetViews>
  <sheetFormatPr baseColWidth="10" defaultColWidth="8.6640625" defaultRowHeight="14.4"/>
  <cols>
    <col min="1" max="1" width="9.109375" style="4" customWidth="1"/>
    <col min="2" max="2" width="14.6640625" style="5" customWidth="1"/>
    <col min="3" max="3" width="56" style="5" customWidth="1"/>
    <col min="4" max="4" width="50.33203125" customWidth="1"/>
    <col min="6" max="6" width="38.6640625" customWidth="1"/>
    <col min="7" max="7" width="66.44140625" style="61" customWidth="1"/>
  </cols>
  <sheetData>
    <row r="1" spans="1:7" ht="15.6">
      <c r="A1" s="202" t="s">
        <v>435</v>
      </c>
      <c r="D1" s="5"/>
    </row>
    <row r="2" spans="1:7">
      <c r="A2" s="2" t="s">
        <v>408</v>
      </c>
      <c r="D2" s="5"/>
    </row>
    <row r="3" spans="1:7">
      <c r="A3" s="2"/>
      <c r="D3" s="5"/>
    </row>
    <row r="4" spans="1:7" s="42" customFormat="1" ht="28.8">
      <c r="A4" s="31" t="s">
        <v>409</v>
      </c>
      <c r="B4" s="35" t="s">
        <v>13</v>
      </c>
      <c r="C4" s="32" t="s">
        <v>410</v>
      </c>
      <c r="D4" s="41" t="s">
        <v>411</v>
      </c>
      <c r="E4" s="33" t="s">
        <v>1</v>
      </c>
      <c r="F4" s="34" t="s">
        <v>412</v>
      </c>
      <c r="G4" s="63"/>
    </row>
    <row r="5" spans="1:7" ht="28.8">
      <c r="A5" s="119">
        <v>1</v>
      </c>
      <c r="B5" s="261" t="s">
        <v>2</v>
      </c>
      <c r="C5" s="216" t="s">
        <v>436</v>
      </c>
      <c r="D5" s="225"/>
      <c r="E5" s="121">
        <v>1</v>
      </c>
      <c r="F5" s="122"/>
    </row>
    <row r="6" spans="1:7" ht="28.8">
      <c r="A6" s="123">
        <v>1</v>
      </c>
      <c r="B6" s="262"/>
      <c r="C6" s="212" t="s">
        <v>437</v>
      </c>
      <c r="D6" s="226"/>
      <c r="E6" s="124">
        <v>1</v>
      </c>
      <c r="F6" s="125"/>
    </row>
    <row r="7" spans="1:7" ht="28.8">
      <c r="A7" s="123">
        <v>1</v>
      </c>
      <c r="B7" s="262"/>
      <c r="C7" s="212" t="s">
        <v>438</v>
      </c>
      <c r="D7" s="226"/>
      <c r="E7" s="124">
        <v>1</v>
      </c>
      <c r="F7" s="125"/>
    </row>
    <row r="8" spans="1:7" ht="28.8">
      <c r="A8" s="123">
        <v>1</v>
      </c>
      <c r="B8" s="262"/>
      <c r="C8" s="227" t="s">
        <v>439</v>
      </c>
      <c r="D8" s="226"/>
      <c r="E8" s="124">
        <v>1</v>
      </c>
      <c r="F8" s="125"/>
    </row>
    <row r="9" spans="1:7" ht="28.8">
      <c r="A9" s="123">
        <v>1</v>
      </c>
      <c r="B9" s="262"/>
      <c r="C9" s="228" t="s">
        <v>440</v>
      </c>
      <c r="D9" s="226"/>
      <c r="E9" s="124">
        <v>0</v>
      </c>
      <c r="F9" s="125"/>
    </row>
    <row r="10" spans="1:7" ht="43.2">
      <c r="A10" s="123">
        <v>1</v>
      </c>
      <c r="B10" s="262"/>
      <c r="C10" s="227" t="s">
        <v>441</v>
      </c>
      <c r="D10" s="220" t="s">
        <v>454</v>
      </c>
      <c r="E10" s="124">
        <v>0</v>
      </c>
      <c r="F10" s="125"/>
    </row>
    <row r="11" spans="1:7" ht="43.2">
      <c r="A11" s="123">
        <v>2</v>
      </c>
      <c r="B11" s="262"/>
      <c r="C11" s="227" t="s">
        <v>442</v>
      </c>
      <c r="D11" s="220" t="s">
        <v>455</v>
      </c>
      <c r="E11" s="124">
        <v>1</v>
      </c>
      <c r="F11" s="125"/>
    </row>
    <row r="12" spans="1:7" ht="43.2">
      <c r="A12" s="123">
        <v>2</v>
      </c>
      <c r="B12" s="262"/>
      <c r="C12" s="227" t="s">
        <v>443</v>
      </c>
      <c r="D12" s="130" t="s">
        <v>456</v>
      </c>
      <c r="E12" s="124">
        <v>1</v>
      </c>
      <c r="F12" s="125"/>
    </row>
    <row r="13" spans="1:7" ht="43.2">
      <c r="A13" s="123">
        <v>2</v>
      </c>
      <c r="B13" s="262"/>
      <c r="C13" s="227" t="s">
        <v>444</v>
      </c>
      <c r="D13" s="130" t="s">
        <v>456</v>
      </c>
      <c r="E13" s="124">
        <v>1</v>
      </c>
      <c r="F13" s="125"/>
    </row>
    <row r="14" spans="1:7" ht="28.8">
      <c r="A14" s="123">
        <v>2</v>
      </c>
      <c r="B14" s="262"/>
      <c r="C14" s="227" t="s">
        <v>445</v>
      </c>
      <c r="D14" s="220" t="s">
        <v>457</v>
      </c>
      <c r="E14" s="124">
        <v>1</v>
      </c>
      <c r="F14" s="125"/>
    </row>
    <row r="15" spans="1:7" ht="28.8">
      <c r="A15" s="123">
        <v>3</v>
      </c>
      <c r="B15" s="262"/>
      <c r="C15" s="227" t="s">
        <v>446</v>
      </c>
      <c r="D15" s="226"/>
      <c r="E15" s="124">
        <v>1</v>
      </c>
      <c r="F15" s="125"/>
    </row>
    <row r="16" spans="1:7" ht="28.8">
      <c r="A16" s="123">
        <v>3</v>
      </c>
      <c r="B16" s="262"/>
      <c r="C16" s="227" t="s">
        <v>447</v>
      </c>
      <c r="D16" s="226"/>
      <c r="E16" s="124">
        <v>1</v>
      </c>
      <c r="F16" s="125"/>
    </row>
    <row r="17" spans="1:6" ht="43.2">
      <c r="A17" s="123">
        <v>3</v>
      </c>
      <c r="B17" s="262"/>
      <c r="C17" s="229" t="s">
        <v>448</v>
      </c>
      <c r="D17" s="226"/>
      <c r="E17" s="124">
        <v>1</v>
      </c>
      <c r="F17" s="125"/>
    </row>
    <row r="18" spans="1:6" ht="28.8">
      <c r="A18" s="123">
        <v>4</v>
      </c>
      <c r="B18" s="262"/>
      <c r="C18" s="227" t="s">
        <v>449</v>
      </c>
      <c r="D18" s="226"/>
      <c r="E18" s="124">
        <v>1</v>
      </c>
      <c r="F18" s="125"/>
    </row>
    <row r="19" spans="1:6" ht="57.6">
      <c r="A19" s="123">
        <v>4</v>
      </c>
      <c r="B19" s="262"/>
      <c r="C19" s="227" t="s">
        <v>451</v>
      </c>
      <c r="D19" s="226"/>
      <c r="E19" s="124">
        <v>1</v>
      </c>
      <c r="F19" s="125"/>
    </row>
    <row r="20" spans="1:6">
      <c r="A20" s="126">
        <v>5</v>
      </c>
      <c r="B20" s="263"/>
      <c r="C20" s="231" t="s">
        <v>452</v>
      </c>
      <c r="D20" s="230"/>
      <c r="E20" s="127">
        <v>1</v>
      </c>
      <c r="F20" s="128"/>
    </row>
    <row r="21" spans="1:6" ht="57.6">
      <c r="A21" s="119">
        <v>3</v>
      </c>
      <c r="B21" s="261" t="s">
        <v>450</v>
      </c>
      <c r="C21" s="203" t="s">
        <v>453</v>
      </c>
      <c r="D21" s="120"/>
      <c r="E21" s="121">
        <v>0</v>
      </c>
      <c r="F21" s="122"/>
    </row>
    <row r="22" spans="1:6" ht="28.8">
      <c r="A22" s="126">
        <v>3</v>
      </c>
      <c r="B22" s="263"/>
      <c r="C22" s="204" t="s">
        <v>347</v>
      </c>
      <c r="D22" s="129"/>
      <c r="E22" s="127">
        <v>0</v>
      </c>
      <c r="F22" s="128"/>
    </row>
    <row r="23" spans="1:6">
      <c r="D23" s="20"/>
      <c r="E23" s="22"/>
      <c r="F23" s="20"/>
    </row>
    <row r="24" spans="1:6">
      <c r="C24" s="3"/>
      <c r="D24" s="19"/>
      <c r="E24" s="21"/>
      <c r="F24" s="19"/>
    </row>
    <row r="25" spans="1:6">
      <c r="C25" s="3"/>
      <c r="D25" s="19"/>
      <c r="E25" s="21"/>
      <c r="F25" s="19"/>
    </row>
    <row r="26" spans="1:6">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G17"/>
  <sheetViews>
    <sheetView showGridLines="0" topLeftCell="A8" workbookViewId="0">
      <selection activeCell="E13" sqref="E13"/>
    </sheetView>
  </sheetViews>
  <sheetFormatPr baseColWidth="10" defaultColWidth="8.6640625" defaultRowHeight="14.4"/>
  <cols>
    <col min="1" max="1" width="9.109375" style="4" customWidth="1"/>
    <col min="2" max="2" width="14.6640625" style="5" customWidth="1"/>
    <col min="3" max="3" width="56" style="5" customWidth="1"/>
    <col min="4" max="4" width="50.33203125" customWidth="1"/>
    <col min="6" max="6" width="38.6640625" customWidth="1"/>
    <col min="7" max="7" width="56.109375" style="61" customWidth="1"/>
  </cols>
  <sheetData>
    <row r="1" spans="1:7" ht="15.6">
      <c r="A1" s="10" t="s">
        <v>458</v>
      </c>
      <c r="D1" s="5"/>
    </row>
    <row r="2" spans="1:7">
      <c r="A2" s="2" t="s">
        <v>408</v>
      </c>
      <c r="D2" s="5"/>
    </row>
    <row r="3" spans="1:7">
      <c r="A3" s="2"/>
      <c r="D3" s="5"/>
    </row>
    <row r="4" spans="1:7" s="42" customFormat="1" ht="28.8">
      <c r="A4" s="31" t="s">
        <v>409</v>
      </c>
      <c r="B4" s="35" t="s">
        <v>13</v>
      </c>
      <c r="C4" s="32" t="s">
        <v>410</v>
      </c>
      <c r="D4" s="41" t="s">
        <v>411</v>
      </c>
      <c r="E4" s="33" t="s">
        <v>1</v>
      </c>
      <c r="F4" s="34" t="s">
        <v>412</v>
      </c>
      <c r="G4" s="63"/>
    </row>
    <row r="5" spans="1:7" s="13" customFormat="1" ht="43.2">
      <c r="A5" s="131">
        <v>0</v>
      </c>
      <c r="B5" s="258" t="s">
        <v>459</v>
      </c>
      <c r="C5" s="232" t="s">
        <v>461</v>
      </c>
      <c r="D5" s="233" t="s">
        <v>473</v>
      </c>
      <c r="E5" s="121">
        <v>0</v>
      </c>
      <c r="F5" s="133"/>
      <c r="G5" s="61"/>
    </row>
    <row r="6" spans="1:7" s="13" customFormat="1" ht="43.2">
      <c r="A6" s="134">
        <v>0</v>
      </c>
      <c r="B6" s="259"/>
      <c r="C6" s="234" t="s">
        <v>462</v>
      </c>
      <c r="D6" s="130" t="s">
        <v>474</v>
      </c>
      <c r="E6" s="124">
        <v>0</v>
      </c>
      <c r="F6" s="135"/>
      <c r="G6" s="61"/>
    </row>
    <row r="7" spans="1:7" s="13" customFormat="1" ht="43.2">
      <c r="A7" s="136">
        <v>0</v>
      </c>
      <c r="B7" s="260"/>
      <c r="C7" s="235" t="s">
        <v>463</v>
      </c>
      <c r="D7" s="137" t="s">
        <v>475</v>
      </c>
      <c r="E7" s="127">
        <v>0</v>
      </c>
      <c r="F7" s="138"/>
      <c r="G7" s="61"/>
    </row>
    <row r="8" spans="1:7" s="13" customFormat="1" ht="28.8">
      <c r="A8" s="131">
        <v>1</v>
      </c>
      <c r="B8" s="261" t="s">
        <v>460</v>
      </c>
      <c r="C8" s="236" t="s">
        <v>472</v>
      </c>
      <c r="D8" s="132"/>
      <c r="E8" s="121">
        <v>1</v>
      </c>
      <c r="F8" s="133"/>
      <c r="G8" s="61"/>
    </row>
    <row r="9" spans="1:7" s="13" customFormat="1" ht="30" customHeight="1">
      <c r="A9" s="134">
        <v>2</v>
      </c>
      <c r="B9" s="262"/>
      <c r="C9" s="227" t="s">
        <v>464</v>
      </c>
      <c r="D9" s="237" t="s">
        <v>470</v>
      </c>
      <c r="E9" s="124">
        <v>1</v>
      </c>
      <c r="F9" s="135"/>
      <c r="G9" s="61"/>
    </row>
    <row r="10" spans="1:7" s="13" customFormat="1">
      <c r="A10" s="134">
        <v>2</v>
      </c>
      <c r="B10" s="262"/>
      <c r="C10" s="227" t="s">
        <v>465</v>
      </c>
      <c r="D10" s="140"/>
      <c r="E10" s="124">
        <v>1</v>
      </c>
      <c r="F10" s="135"/>
      <c r="G10" s="61"/>
    </row>
    <row r="11" spans="1:7" s="13" customFormat="1" ht="43.2">
      <c r="A11" s="134">
        <v>3</v>
      </c>
      <c r="B11" s="262"/>
      <c r="C11" s="227" t="s">
        <v>466</v>
      </c>
      <c r="D11" s="237" t="s">
        <v>470</v>
      </c>
      <c r="E11" s="124">
        <v>1</v>
      </c>
      <c r="F11" s="135"/>
      <c r="G11" s="61"/>
    </row>
    <row r="12" spans="1:7" s="13" customFormat="1" ht="43.2">
      <c r="A12" s="134">
        <v>3</v>
      </c>
      <c r="B12" s="262"/>
      <c r="C12" s="227" t="s">
        <v>467</v>
      </c>
      <c r="D12" s="238" t="s">
        <v>471</v>
      </c>
      <c r="E12" s="124">
        <v>0</v>
      </c>
      <c r="F12" s="135"/>
      <c r="G12" s="61"/>
    </row>
    <row r="13" spans="1:7" s="13" customFormat="1" ht="43.2">
      <c r="A13" s="134">
        <v>4</v>
      </c>
      <c r="B13" s="262"/>
      <c r="C13" s="227" t="s">
        <v>468</v>
      </c>
      <c r="D13" s="140"/>
      <c r="E13" s="124">
        <v>1</v>
      </c>
      <c r="F13" s="135"/>
      <c r="G13" s="61"/>
    </row>
    <row r="14" spans="1:7" s="13" customFormat="1" ht="57.6">
      <c r="A14" s="134">
        <v>4</v>
      </c>
      <c r="B14" s="262"/>
      <c r="C14" s="227" t="s">
        <v>451</v>
      </c>
      <c r="D14" s="141"/>
      <c r="E14" s="124">
        <v>0</v>
      </c>
      <c r="F14" s="135"/>
      <c r="G14" s="61"/>
    </row>
    <row r="15" spans="1:7" s="13" customFormat="1" ht="28.8">
      <c r="A15" s="136">
        <v>5</v>
      </c>
      <c r="B15" s="263"/>
      <c r="C15" s="231" t="s">
        <v>469</v>
      </c>
      <c r="D15" s="137"/>
      <c r="E15" s="127">
        <v>0</v>
      </c>
      <c r="F15" s="138"/>
      <c r="G15" s="61"/>
    </row>
    <row r="16" spans="1:7">
      <c r="C16" s="3"/>
    </row>
    <row r="17" spans="3:3">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G21"/>
  <sheetViews>
    <sheetView showGridLines="0" topLeftCell="A17" workbookViewId="0">
      <selection activeCell="E11" sqref="E11"/>
    </sheetView>
  </sheetViews>
  <sheetFormatPr baseColWidth="10" defaultColWidth="8.6640625" defaultRowHeight="14.4"/>
  <cols>
    <col min="1" max="1" width="9.10937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5.6">
      <c r="A1" s="10" t="s">
        <v>476</v>
      </c>
      <c r="D1" s="5"/>
    </row>
    <row r="2" spans="1:7">
      <c r="A2" s="2" t="s">
        <v>408</v>
      </c>
      <c r="D2" s="5"/>
    </row>
    <row r="4" spans="1:7" s="42" customFormat="1" ht="28.8">
      <c r="A4" s="31" t="s">
        <v>409</v>
      </c>
      <c r="B4" s="35" t="s">
        <v>13</v>
      </c>
      <c r="C4" s="32" t="s">
        <v>410</v>
      </c>
      <c r="D4" s="41" t="s">
        <v>411</v>
      </c>
      <c r="E4" s="33" t="s">
        <v>1</v>
      </c>
      <c r="F4" s="34" t="s">
        <v>412</v>
      </c>
      <c r="G4" s="63"/>
    </row>
    <row r="5" spans="1:7" ht="28.8">
      <c r="A5" s="77">
        <v>2</v>
      </c>
      <c r="B5" s="75" t="s">
        <v>477</v>
      </c>
      <c r="C5" s="242" t="s">
        <v>445</v>
      </c>
      <c r="D5" s="145" t="s">
        <v>457</v>
      </c>
      <c r="E5" s="76">
        <v>0</v>
      </c>
      <c r="F5" s="78"/>
    </row>
    <row r="6" spans="1:7" ht="28.8">
      <c r="A6" s="142">
        <v>1</v>
      </c>
      <c r="B6" s="264" t="s">
        <v>478</v>
      </c>
      <c r="C6" s="239" t="s">
        <v>481</v>
      </c>
      <c r="D6" s="139"/>
      <c r="E6" s="121">
        <v>0</v>
      </c>
      <c r="F6" s="133"/>
    </row>
    <row r="7" spans="1:7" ht="57.6">
      <c r="A7" s="143">
        <v>1</v>
      </c>
      <c r="B7" s="265"/>
      <c r="C7" s="243" t="s">
        <v>482</v>
      </c>
      <c r="D7" s="140"/>
      <c r="E7" s="124">
        <v>0</v>
      </c>
      <c r="F7" s="135"/>
    </row>
    <row r="8" spans="1:7" ht="28.8">
      <c r="A8" s="143">
        <v>1</v>
      </c>
      <c r="B8" s="265"/>
      <c r="C8" s="243" t="s">
        <v>483</v>
      </c>
      <c r="D8" s="240" t="s">
        <v>495</v>
      </c>
      <c r="E8" s="124">
        <v>0</v>
      </c>
      <c r="F8" s="135"/>
    </row>
    <row r="9" spans="1:7">
      <c r="A9" s="143">
        <v>2</v>
      </c>
      <c r="B9" s="265"/>
      <c r="C9" s="243" t="s">
        <v>484</v>
      </c>
      <c r="D9" s="240" t="s">
        <v>495</v>
      </c>
      <c r="E9" s="124">
        <v>0</v>
      </c>
      <c r="F9" s="135"/>
    </row>
    <row r="10" spans="1:7" ht="28.8">
      <c r="A10" s="144">
        <v>3</v>
      </c>
      <c r="B10" s="266"/>
      <c r="C10" s="244" t="s">
        <v>485</v>
      </c>
      <c r="D10" s="241" t="s">
        <v>495</v>
      </c>
      <c r="E10" s="127">
        <v>0</v>
      </c>
      <c r="F10" s="138"/>
    </row>
    <row r="11" spans="1:7" s="19" customFormat="1" ht="45" customHeight="1">
      <c r="A11" s="142">
        <v>1</v>
      </c>
      <c r="B11" s="264" t="s">
        <v>480</v>
      </c>
      <c r="C11" s="233" t="s">
        <v>494</v>
      </c>
      <c r="D11" s="139" t="s">
        <v>496</v>
      </c>
      <c r="E11" s="121">
        <v>0</v>
      </c>
      <c r="F11" s="133"/>
      <c r="G11" s="197"/>
    </row>
    <row r="12" spans="1:7" ht="45" customHeight="1">
      <c r="A12" s="143">
        <v>2</v>
      </c>
      <c r="B12" s="265"/>
      <c r="C12" s="243" t="s">
        <v>486</v>
      </c>
      <c r="D12" s="198" t="s">
        <v>496</v>
      </c>
      <c r="E12" s="124">
        <v>0</v>
      </c>
      <c r="F12" s="135"/>
    </row>
    <row r="13" spans="1:7" ht="57.6">
      <c r="A13" s="143">
        <v>2</v>
      </c>
      <c r="B13" s="265"/>
      <c r="C13" s="243" t="s">
        <v>572</v>
      </c>
      <c r="D13" s="130" t="s">
        <v>496</v>
      </c>
      <c r="E13" s="124">
        <v>0</v>
      </c>
      <c r="F13" s="135"/>
    </row>
    <row r="14" spans="1:7">
      <c r="A14" s="143">
        <v>3</v>
      </c>
      <c r="B14" s="265"/>
      <c r="C14" s="243" t="s">
        <v>434</v>
      </c>
      <c r="D14" s="140" t="s">
        <v>497</v>
      </c>
      <c r="E14" s="124">
        <v>0</v>
      </c>
      <c r="F14" s="135"/>
    </row>
    <row r="15" spans="1:7" ht="28.8">
      <c r="A15" s="143">
        <v>3</v>
      </c>
      <c r="B15" s="265"/>
      <c r="C15" s="243" t="s">
        <v>487</v>
      </c>
      <c r="D15" s="130" t="s">
        <v>496</v>
      </c>
      <c r="E15" s="124">
        <v>0</v>
      </c>
      <c r="F15" s="135"/>
    </row>
    <row r="16" spans="1:7" ht="28.8">
      <c r="A16" s="143">
        <v>3</v>
      </c>
      <c r="B16" s="265"/>
      <c r="C16" s="243" t="s">
        <v>488</v>
      </c>
      <c r="D16" s="130" t="s">
        <v>496</v>
      </c>
      <c r="E16" s="124">
        <v>0</v>
      </c>
      <c r="F16" s="135"/>
    </row>
    <row r="17" spans="1:6" ht="28.8">
      <c r="A17" s="143">
        <v>4</v>
      </c>
      <c r="B17" s="265"/>
      <c r="C17" s="243" t="s">
        <v>489</v>
      </c>
      <c r="D17" s="140" t="s">
        <v>497</v>
      </c>
      <c r="E17" s="124">
        <v>0</v>
      </c>
      <c r="F17" s="135"/>
    </row>
    <row r="18" spans="1:6" ht="43.2">
      <c r="A18" s="143">
        <v>4</v>
      </c>
      <c r="B18" s="265"/>
      <c r="C18" s="243" t="s">
        <v>490</v>
      </c>
      <c r="D18" s="130" t="s">
        <v>496</v>
      </c>
      <c r="E18" s="124">
        <v>0</v>
      </c>
      <c r="F18" s="135"/>
    </row>
    <row r="19" spans="1:6" ht="28.8">
      <c r="A19" s="144">
        <v>5</v>
      </c>
      <c r="B19" s="266"/>
      <c r="C19" s="244" t="s">
        <v>491</v>
      </c>
      <c r="D19" s="146" t="s">
        <v>496</v>
      </c>
      <c r="E19" s="127">
        <v>0</v>
      </c>
      <c r="F19" s="138"/>
    </row>
    <row r="20" spans="1:6" ht="28.8">
      <c r="A20" s="131">
        <v>1</v>
      </c>
      <c r="B20" s="264" t="s">
        <v>479</v>
      </c>
      <c r="C20" s="233" t="s">
        <v>492</v>
      </c>
      <c r="D20" s="139" t="s">
        <v>498</v>
      </c>
      <c r="E20" s="121">
        <v>0</v>
      </c>
      <c r="F20" s="133"/>
    </row>
    <row r="21" spans="1:6" ht="28.8">
      <c r="A21" s="136">
        <v>2</v>
      </c>
      <c r="B21" s="266"/>
      <c r="C21" s="244" t="s">
        <v>493</v>
      </c>
      <c r="D21" s="146" t="s">
        <v>498</v>
      </c>
      <c r="E21" s="127">
        <v>0</v>
      </c>
      <c r="F21" s="138"/>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dimension ref="A1:G33"/>
  <sheetViews>
    <sheetView showGridLines="0" topLeftCell="B23" workbookViewId="0">
      <selection activeCell="E27" sqref="E27"/>
    </sheetView>
  </sheetViews>
  <sheetFormatPr baseColWidth="10" defaultColWidth="8.6640625" defaultRowHeight="14.4"/>
  <cols>
    <col min="1" max="1" width="9.10937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5.6">
      <c r="A1" s="10" t="s">
        <v>499</v>
      </c>
      <c r="D1" s="157"/>
    </row>
    <row r="2" spans="1:7">
      <c r="A2" s="2" t="s">
        <v>408</v>
      </c>
      <c r="D2" s="157"/>
    </row>
    <row r="4" spans="1:7" s="42" customFormat="1" ht="28.8">
      <c r="A4" s="31" t="s">
        <v>409</v>
      </c>
      <c r="B4" s="35" t="s">
        <v>13</v>
      </c>
      <c r="C4" s="32" t="s">
        <v>410</v>
      </c>
      <c r="D4" s="41" t="s">
        <v>411</v>
      </c>
      <c r="E4" s="33" t="s">
        <v>1</v>
      </c>
      <c r="F4" s="34" t="s">
        <v>412</v>
      </c>
      <c r="G4" s="63"/>
    </row>
    <row r="5" spans="1:7" s="6" customFormat="1" ht="28.8">
      <c r="A5" s="119">
        <v>1</v>
      </c>
      <c r="B5" s="267" t="s">
        <v>500</v>
      </c>
      <c r="C5" s="233" t="s">
        <v>503</v>
      </c>
      <c r="D5" s="217"/>
      <c r="E5" s="148">
        <v>1</v>
      </c>
      <c r="F5" s="149"/>
      <c r="G5" s="64"/>
    </row>
    <row r="6" spans="1:7" s="6" customFormat="1" ht="28.8">
      <c r="A6" s="123">
        <v>1</v>
      </c>
      <c r="B6" s="268"/>
      <c r="C6" s="243" t="s">
        <v>504</v>
      </c>
      <c r="D6" s="220" t="s">
        <v>518</v>
      </c>
      <c r="E6" s="151">
        <v>0</v>
      </c>
      <c r="F6" s="152"/>
      <c r="G6" s="64"/>
    </row>
    <row r="7" spans="1:7" s="6" customFormat="1" ht="28.8">
      <c r="A7" s="123">
        <v>2</v>
      </c>
      <c r="B7" s="268"/>
      <c r="C7" s="243" t="s">
        <v>505</v>
      </c>
      <c r="D7" s="220" t="s">
        <v>519</v>
      </c>
      <c r="E7" s="151">
        <v>1</v>
      </c>
      <c r="F7" s="152"/>
      <c r="G7" s="64"/>
    </row>
    <row r="8" spans="1:7" s="6" customFormat="1" ht="43.2">
      <c r="A8" s="123">
        <v>2</v>
      </c>
      <c r="B8" s="268"/>
      <c r="C8" s="243" t="s">
        <v>506</v>
      </c>
      <c r="D8" s="220"/>
      <c r="E8" s="151">
        <v>1</v>
      </c>
      <c r="F8" s="152"/>
      <c r="G8" s="64"/>
    </row>
    <row r="9" spans="1:7" s="6" customFormat="1" ht="43.2">
      <c r="A9" s="150">
        <v>2</v>
      </c>
      <c r="B9" s="268"/>
      <c r="C9" s="243" t="s">
        <v>507</v>
      </c>
      <c r="D9" s="220"/>
      <c r="E9" s="151">
        <v>0</v>
      </c>
      <c r="F9" s="152"/>
      <c r="G9" s="64"/>
    </row>
    <row r="10" spans="1:7" s="6" customFormat="1" ht="57.6">
      <c r="A10" s="150">
        <v>3</v>
      </c>
      <c r="B10" s="268"/>
      <c r="C10" s="243" t="s">
        <v>508</v>
      </c>
      <c r="D10" s="220"/>
      <c r="E10" s="151">
        <v>0</v>
      </c>
      <c r="F10" s="152"/>
      <c r="G10" s="64"/>
    </row>
    <row r="11" spans="1:7" s="6" customFormat="1" ht="43.2">
      <c r="A11" s="156">
        <v>5</v>
      </c>
      <c r="B11" s="268"/>
      <c r="C11" s="244" t="s">
        <v>509</v>
      </c>
      <c r="D11" s="224"/>
      <c r="E11" s="154">
        <v>0</v>
      </c>
      <c r="F11" s="155"/>
      <c r="G11" s="64"/>
    </row>
    <row r="12" spans="1:7" s="6" customFormat="1" ht="28.8">
      <c r="A12" s="147">
        <v>1</v>
      </c>
      <c r="B12" s="269" t="s">
        <v>501</v>
      </c>
      <c r="C12" s="233" t="s">
        <v>510</v>
      </c>
      <c r="D12" s="132"/>
      <c r="E12" s="148">
        <v>1</v>
      </c>
      <c r="F12" s="149"/>
      <c r="G12" s="64"/>
    </row>
    <row r="13" spans="1:7" s="6" customFormat="1" ht="28.8">
      <c r="A13" s="150">
        <v>1</v>
      </c>
      <c r="B13" s="270"/>
      <c r="C13" s="243" t="s">
        <v>511</v>
      </c>
      <c r="D13" s="130" t="s">
        <v>497</v>
      </c>
      <c r="E13" s="151">
        <v>0</v>
      </c>
      <c r="F13" s="152"/>
      <c r="G13" s="64"/>
    </row>
    <row r="14" spans="1:7" s="6" customFormat="1" ht="28.8">
      <c r="A14" s="123">
        <v>2</v>
      </c>
      <c r="B14" s="270"/>
      <c r="C14" s="243" t="s">
        <v>512</v>
      </c>
      <c r="D14" s="130"/>
      <c r="E14" s="151">
        <v>1</v>
      </c>
      <c r="F14" s="152"/>
      <c r="G14" s="64"/>
    </row>
    <row r="15" spans="1:7" s="6" customFormat="1" ht="43.2">
      <c r="A15" s="123">
        <v>2</v>
      </c>
      <c r="B15" s="270"/>
      <c r="C15" s="243" t="s">
        <v>513</v>
      </c>
      <c r="D15" s="130"/>
      <c r="E15" s="151">
        <v>0</v>
      </c>
      <c r="F15" s="152"/>
      <c r="G15" s="64"/>
    </row>
    <row r="16" spans="1:7" s="6" customFormat="1" ht="43.2">
      <c r="A16" s="123">
        <v>3</v>
      </c>
      <c r="B16" s="270"/>
      <c r="C16" s="243" t="s">
        <v>514</v>
      </c>
      <c r="D16" s="130"/>
      <c r="E16" s="151">
        <v>0</v>
      </c>
      <c r="F16" s="152"/>
      <c r="G16" s="64"/>
    </row>
    <row r="17" spans="1:7" s="6" customFormat="1" ht="28.8">
      <c r="A17" s="123">
        <v>3</v>
      </c>
      <c r="B17" s="270"/>
      <c r="C17" s="243" t="s">
        <v>515</v>
      </c>
      <c r="D17" s="130" t="s">
        <v>520</v>
      </c>
      <c r="E17" s="151">
        <v>0</v>
      </c>
      <c r="F17" s="152"/>
      <c r="G17" s="64"/>
    </row>
    <row r="18" spans="1:7" s="6" customFormat="1" ht="43.2">
      <c r="A18" s="123">
        <v>4</v>
      </c>
      <c r="B18" s="270"/>
      <c r="C18" s="243" t="s">
        <v>516</v>
      </c>
      <c r="D18" s="130"/>
      <c r="E18" s="151">
        <v>0</v>
      </c>
      <c r="F18" s="152"/>
      <c r="G18" s="64"/>
    </row>
    <row r="19" spans="1:7" s="6" customFormat="1" ht="28.8">
      <c r="A19" s="156">
        <v>5</v>
      </c>
      <c r="B19" s="271"/>
      <c r="C19" s="244" t="s">
        <v>517</v>
      </c>
      <c r="D19" s="248"/>
      <c r="E19" s="154">
        <v>0</v>
      </c>
      <c r="F19" s="155"/>
      <c r="G19" s="64"/>
    </row>
    <row r="20" spans="1:7" s="6" customFormat="1" ht="57.6">
      <c r="A20" s="147">
        <v>1</v>
      </c>
      <c r="B20" s="269" t="s">
        <v>502</v>
      </c>
      <c r="C20" s="233" t="s">
        <v>521</v>
      </c>
      <c r="D20" s="217"/>
      <c r="E20" s="148">
        <v>0</v>
      </c>
      <c r="F20" s="149"/>
      <c r="G20" s="64"/>
    </row>
    <row r="21" spans="1:7" s="6" customFormat="1" ht="43.2">
      <c r="A21" s="150">
        <v>2</v>
      </c>
      <c r="B21" s="270"/>
      <c r="C21" s="243" t="s">
        <v>522</v>
      </c>
      <c r="D21" s="245" t="s">
        <v>531</v>
      </c>
      <c r="E21" s="151">
        <v>0</v>
      </c>
      <c r="F21" s="152"/>
      <c r="G21" s="64"/>
    </row>
    <row r="22" spans="1:7" s="6" customFormat="1" ht="28.8">
      <c r="A22" s="153">
        <v>2</v>
      </c>
      <c r="B22" s="270"/>
      <c r="C22" s="243" t="s">
        <v>523</v>
      </c>
      <c r="D22" s="220"/>
      <c r="E22" s="151">
        <v>0</v>
      </c>
      <c r="F22" s="152"/>
      <c r="G22" s="64"/>
    </row>
    <row r="23" spans="1:7" s="6" customFormat="1" ht="43.2">
      <c r="A23" s="153">
        <v>3</v>
      </c>
      <c r="B23" s="270"/>
      <c r="C23" s="243" t="s">
        <v>524</v>
      </c>
      <c r="D23" s="220" t="s">
        <v>532</v>
      </c>
      <c r="E23" s="151">
        <v>0</v>
      </c>
      <c r="F23" s="152"/>
      <c r="G23" s="64"/>
    </row>
    <row r="24" spans="1:7" s="6" customFormat="1" ht="43.2">
      <c r="A24" s="123">
        <v>3</v>
      </c>
      <c r="B24" s="270"/>
      <c r="C24" s="243" t="s">
        <v>525</v>
      </c>
      <c r="D24" s="220" t="s">
        <v>533</v>
      </c>
      <c r="E24" s="151">
        <v>0</v>
      </c>
      <c r="F24" s="152"/>
      <c r="G24" s="64"/>
    </row>
    <row r="25" spans="1:7" s="6" customFormat="1" ht="28.8">
      <c r="A25" s="123">
        <v>3</v>
      </c>
      <c r="B25" s="270"/>
      <c r="C25" s="243" t="s">
        <v>526</v>
      </c>
      <c r="D25" s="220" t="s">
        <v>534</v>
      </c>
      <c r="E25" s="151">
        <v>0</v>
      </c>
      <c r="F25" s="152"/>
      <c r="G25" s="64"/>
    </row>
    <row r="26" spans="1:7" s="6" customFormat="1" ht="43.2">
      <c r="A26" s="123">
        <v>4</v>
      </c>
      <c r="B26" s="270"/>
      <c r="C26" s="243" t="s">
        <v>527</v>
      </c>
      <c r="D26" s="220"/>
      <c r="E26" s="151">
        <v>0</v>
      </c>
      <c r="F26" s="152"/>
      <c r="G26" s="64"/>
    </row>
    <row r="27" spans="1:7" s="6" customFormat="1" ht="43.2">
      <c r="A27" s="123">
        <v>4</v>
      </c>
      <c r="B27" s="270"/>
      <c r="C27" s="243" t="s">
        <v>528</v>
      </c>
      <c r="D27" s="220"/>
      <c r="E27" s="151">
        <v>1</v>
      </c>
      <c r="F27" s="152"/>
      <c r="G27" s="64"/>
    </row>
    <row r="28" spans="1:7" s="6" customFormat="1" ht="43.2">
      <c r="A28" s="123">
        <v>4</v>
      </c>
      <c r="B28" s="270"/>
      <c r="C28" s="243" t="s">
        <v>529</v>
      </c>
      <c r="D28" s="220"/>
      <c r="E28" s="151">
        <v>0</v>
      </c>
      <c r="F28" s="152"/>
      <c r="G28" s="64"/>
    </row>
    <row r="29" spans="1:7" s="6" customFormat="1" ht="28.8">
      <c r="A29" s="126">
        <v>5</v>
      </c>
      <c r="B29" s="271"/>
      <c r="C29" s="244" t="s">
        <v>530</v>
      </c>
      <c r="D29" s="224"/>
      <c r="E29" s="154">
        <v>0</v>
      </c>
      <c r="F29" s="155"/>
      <c r="G29" s="64"/>
    </row>
    <row r="30" spans="1:7" s="6" customFormat="1">
      <c r="A30" s="72"/>
      <c r="B30" s="18"/>
      <c r="C30" s="9"/>
      <c r="D30" s="158"/>
      <c r="G30" s="64"/>
    </row>
    <row r="31" spans="1:7" s="6" customFormat="1">
      <c r="A31" s="72"/>
      <c r="B31" s="18"/>
      <c r="C31" s="9"/>
      <c r="D31" s="158"/>
      <c r="G31" s="64"/>
    </row>
    <row r="32" spans="1:7" s="6" customFormat="1">
      <c r="A32" s="72"/>
      <c r="B32" s="18"/>
      <c r="C32" s="9"/>
      <c r="D32" s="158"/>
      <c r="G32" s="64"/>
    </row>
    <row r="33" spans="1:7" s="6" customFormat="1">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dimension ref="A1:G16"/>
  <sheetViews>
    <sheetView showGridLines="0" topLeftCell="A9" workbookViewId="0">
      <selection activeCell="E8" sqref="E8"/>
    </sheetView>
  </sheetViews>
  <sheetFormatPr baseColWidth="10" defaultColWidth="8.6640625" defaultRowHeight="14.4"/>
  <cols>
    <col min="1" max="1" width="9.10937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5.6">
      <c r="A1" s="10" t="s">
        <v>537</v>
      </c>
      <c r="D1" s="5"/>
    </row>
    <row r="2" spans="1:7">
      <c r="A2" s="2" t="s">
        <v>408</v>
      </c>
      <c r="D2" s="5"/>
    </row>
    <row r="4" spans="1:7" s="42" customFormat="1" ht="29.25" customHeight="1">
      <c r="A4" s="31" t="s">
        <v>409</v>
      </c>
      <c r="B4" s="35" t="s">
        <v>13</v>
      </c>
      <c r="C4" s="32" t="s">
        <v>410</v>
      </c>
      <c r="D4" s="41" t="s">
        <v>411</v>
      </c>
      <c r="E4" s="33" t="s">
        <v>1</v>
      </c>
      <c r="F4" s="34" t="s">
        <v>412</v>
      </c>
      <c r="G4" s="63"/>
    </row>
    <row r="5" spans="1:7" s="74" customFormat="1" ht="28.8">
      <c r="A5" s="162">
        <v>0</v>
      </c>
      <c r="B5" s="261" t="s">
        <v>536</v>
      </c>
      <c r="C5" s="233" t="s">
        <v>539</v>
      </c>
      <c r="D5" s="246" t="s">
        <v>546</v>
      </c>
      <c r="E5" s="193">
        <v>0</v>
      </c>
      <c r="F5" s="194"/>
      <c r="G5" s="73"/>
    </row>
    <row r="6" spans="1:7" ht="28.8">
      <c r="A6" s="160">
        <v>1</v>
      </c>
      <c r="B6" s="262"/>
      <c r="C6" s="247" t="s">
        <v>540</v>
      </c>
      <c r="D6" s="220" t="s">
        <v>545</v>
      </c>
      <c r="E6" s="124">
        <v>1</v>
      </c>
      <c r="F6" s="125"/>
    </row>
    <row r="7" spans="1:7" ht="28.8">
      <c r="A7" s="160">
        <v>1</v>
      </c>
      <c r="B7" s="262"/>
      <c r="C7" s="243" t="s">
        <v>541</v>
      </c>
      <c r="D7" s="220"/>
      <c r="E7" s="124">
        <v>1</v>
      </c>
      <c r="F7" s="125"/>
    </row>
    <row r="8" spans="1:7" ht="28.8">
      <c r="A8" s="123">
        <v>1</v>
      </c>
      <c r="B8" s="262"/>
      <c r="C8" s="243" t="s">
        <v>542</v>
      </c>
      <c r="D8" s="220" t="s">
        <v>547</v>
      </c>
      <c r="E8" s="124">
        <v>1</v>
      </c>
      <c r="F8" s="125"/>
    </row>
    <row r="9" spans="1:7" ht="28.8">
      <c r="A9" s="160">
        <v>2</v>
      </c>
      <c r="B9" s="262"/>
      <c r="C9" s="243" t="s">
        <v>543</v>
      </c>
      <c r="D9" s="220"/>
      <c r="E9" s="124">
        <v>0</v>
      </c>
      <c r="F9" s="125"/>
    </row>
    <row r="10" spans="1:7" ht="28.8">
      <c r="A10" s="161">
        <v>2</v>
      </c>
      <c r="B10" s="263"/>
      <c r="C10" s="244" t="s">
        <v>544</v>
      </c>
      <c r="D10" s="224"/>
      <c r="E10" s="127">
        <v>0</v>
      </c>
      <c r="F10" s="128"/>
    </row>
    <row r="11" spans="1:7" ht="43.2">
      <c r="A11" s="159">
        <v>1</v>
      </c>
      <c r="B11" s="261" t="s">
        <v>538</v>
      </c>
      <c r="C11" s="233" t="s">
        <v>548</v>
      </c>
      <c r="D11" s="217"/>
      <c r="E11" s="121">
        <v>0</v>
      </c>
      <c r="F11" s="122"/>
    </row>
    <row r="12" spans="1:7" ht="28.8">
      <c r="A12" s="160">
        <v>1</v>
      </c>
      <c r="B12" s="262"/>
      <c r="C12" s="243" t="s">
        <v>549</v>
      </c>
      <c r="D12" s="220"/>
      <c r="E12" s="124">
        <v>0</v>
      </c>
      <c r="F12" s="125"/>
    </row>
    <row r="13" spans="1:7" ht="43.2">
      <c r="A13" s="163">
        <v>2</v>
      </c>
      <c r="B13" s="262"/>
      <c r="C13" s="243" t="s">
        <v>550</v>
      </c>
      <c r="D13" s="220"/>
      <c r="E13" s="124">
        <v>0</v>
      </c>
      <c r="F13" s="125"/>
    </row>
    <row r="14" spans="1:7" ht="43.2">
      <c r="A14" s="163">
        <v>2</v>
      </c>
      <c r="B14" s="262"/>
      <c r="C14" s="243" t="s">
        <v>551</v>
      </c>
      <c r="D14" s="220"/>
      <c r="E14" s="124">
        <v>0</v>
      </c>
      <c r="F14" s="125"/>
    </row>
    <row r="15" spans="1:7" ht="28.8">
      <c r="A15" s="160">
        <v>3</v>
      </c>
      <c r="B15" s="262"/>
      <c r="C15" s="243" t="s">
        <v>552</v>
      </c>
      <c r="D15" s="220"/>
      <c r="E15" s="124">
        <v>0</v>
      </c>
      <c r="F15" s="125"/>
    </row>
    <row r="16" spans="1:7" ht="43.2">
      <c r="A16" s="161">
        <v>4</v>
      </c>
      <c r="B16" s="263"/>
      <c r="C16" s="244" t="s">
        <v>553</v>
      </c>
      <c r="D16" s="224"/>
      <c r="E16" s="127">
        <v>0</v>
      </c>
      <c r="F16" s="128"/>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'SUMMARY (Stage)'!Impression_des_titres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REMARKS</vt:lpstr>
      <vt:lpstr>STAGE</vt:lpstr>
      <vt:lpstr>STATUS</vt:lpstr>
      <vt:lpstr>subcomponent</vt:lpstr>
      <vt:lpstr>tbl</vt:lpstr>
      <vt:lpstr>'SUMMARY (Score)'!Zone_d_impression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Dr Morou</cp:lastModifiedBy>
  <cp:lastPrinted>2016-06-27T05:29:54Z</cp:lastPrinted>
  <dcterms:created xsi:type="dcterms:W3CDTF">2015-04-17T07:47:18Z</dcterms:created>
  <dcterms:modified xsi:type="dcterms:W3CDTF">2016-09-15T15:09:46Z</dcterms:modified>
</cp:coreProperties>
</file>