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621"/>
  <workbookPr hidePivotFieldList="1" autoCompressPictures="0"/>
  <bookViews>
    <workbookView xWindow="40" yWindow="0" windowWidth="28800" windowHeight="17460" tabRatio="917" activeTab="11"/>
  </bookViews>
  <sheets>
    <sheet name="INSTRUCTIONS" sheetId="16" r:id="rId1"/>
    <sheet name="Country profile" sheetId="17" r:id="rId2"/>
    <sheet name="country" sheetId="18" state="hidden" r:id="rId3"/>
    <sheet name="Legislation" sheetId="2" r:id="rId4"/>
    <sheet name="Data coll &amp; ax" sheetId="3" r:id="rId5"/>
    <sheet name="Lab dx" sheetId="5" r:id="rId6"/>
    <sheet name="IEC" sheetId="9" r:id="rId7"/>
    <sheet name="Prev &amp; Ctrl" sheetId="10" r:id="rId8"/>
    <sheet name="Dog popn" sheetId="13" r:id="rId9"/>
    <sheet name="Cross-cutting issues" sheetId="14" r:id="rId10"/>
    <sheet name="SUMMARY (Score)" sheetId="7" r:id="rId11"/>
    <sheet name="SUMMARY (Stage)" sheetId="15" r:id="rId12"/>
    <sheet name="masterlist" sheetId="20" state="hidden" r:id="rId13"/>
  </sheets>
  <definedNames>
    <definedName name="A_case_definition_for_animal_rabies_is_available">Legislation!$C$6:$C$16</definedName>
    <definedName name="ACHIEVEMENTS___ACTIVITIES">Legislation!$C$5:$C$16</definedName>
    <definedName name="COUNTRY">country!$A$1:$A$267</definedName>
    <definedName name="crossstage">'Cross-cutting issues'!$A$4:$A$18</definedName>
    <definedName name="crossstatus">'Cross-cutting issues'!$E$4:$E$18</definedName>
    <definedName name="datastage">'Data coll &amp; ax'!$A$4:$A$12</definedName>
    <definedName name="datastatus">'Data coll &amp; ax'!$E$4:$E$12</definedName>
    <definedName name="dogstage">'Dog popn'!$A$5:$A$7</definedName>
    <definedName name="dogstatus">'Dog popn'!$E$5:$E$7</definedName>
    <definedName name="iecstage">IEC!$A$4:$A$21</definedName>
    <definedName name="iecstatus">IEC!$E$4:$E$21</definedName>
    <definedName name="kp" localSheetId="2">country!#REF!</definedName>
    <definedName name="labstage">'Lab dx'!$A$4:$A$13</definedName>
    <definedName name="labstatus">'Lab dx'!$E$4:$E$13</definedName>
    <definedName name="National_case_definition_for_animal_rabies">Legislation!$B$6:$B$16</definedName>
    <definedName name="OTHER_IMPORTANT_INFORMATION">Legislation!$D$5:$D$16</definedName>
    <definedName name="pendcross">'SUMMARY (Stage)'!$T$6:$T$55</definedName>
    <definedName name="penddata">'SUMMARY (Stage)'!$E$6:$E$55</definedName>
    <definedName name="penddog">'SUMMARY (Stage)'!$Q$6:$Q$55</definedName>
    <definedName name="pendiec">'SUMMARY (Stage)'!$K$6:$K$55</definedName>
    <definedName name="pendlab">'SUMMARY (Stage)'!$H$6:$H$55</definedName>
    <definedName name="pendleg">'SUMMARY (Stage)'!$B$6:$B$55</definedName>
    <definedName name="pendprev">'SUMMARY (Stage)'!$N$6:$N$55</definedName>
    <definedName name="prevstage">'Prev &amp; Ctrl'!$A$4:$A$28</definedName>
    <definedName name="prevstatus">'Prev &amp; Ctrl'!$E$4:$E$28</definedName>
    <definedName name="_xlnm.Print_Titles" localSheetId="11">'SUMMARY (Stage)'!$A:$A,'SUMMARY (Stage)'!$4:$5</definedName>
    <definedName name="REMARKS">Legislation!$F$5:$F$16</definedName>
    <definedName name="STAGE">Legislation!$A$5:$A$16</definedName>
    <definedName name="STATUS">Legislation!$E$5:$E$16</definedName>
    <definedName name="subcomponent">Legislation!$B$5:$B$16</definedName>
    <definedName name="tbl">Legislation!$A$5:$E$16</definedName>
    <definedName name="u" localSheetId="2">country!#REF!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" i="7" l="1"/>
  <c r="H13" i="7"/>
  <c r="H11" i="7"/>
  <c r="H9" i="7"/>
  <c r="H7" i="7"/>
  <c r="H5" i="7"/>
  <c r="S13" i="15"/>
  <c r="U17" i="15" a="1"/>
  <c r="U17" i="15"/>
  <c r="D13" i="15"/>
  <c r="F17" i="15" a="1"/>
  <c r="A13" i="15"/>
  <c r="C16" i="15" a="1"/>
  <c r="C16" i="15"/>
  <c r="C15" i="15" a="1"/>
  <c r="C15" i="15"/>
  <c r="J13" i="15"/>
  <c r="L15" i="15" a="1"/>
  <c r="L15" i="15"/>
  <c r="M13" i="15"/>
  <c r="O15" i="15" a="1"/>
  <c r="O15" i="15"/>
  <c r="F17" i="15"/>
  <c r="C11" i="15" a="1"/>
  <c r="C11" i="15"/>
  <c r="C13" i="15" a="1"/>
  <c r="C13" i="15"/>
  <c r="L14" i="15" a="1"/>
  <c r="L14" i="15"/>
  <c r="G13" i="15"/>
  <c r="I14" i="15" a="1"/>
  <c r="I14" i="15"/>
  <c r="I11" i="15" a="1"/>
  <c r="I11" i="15"/>
  <c r="P13" i="15"/>
  <c r="R12" i="15" a="1"/>
  <c r="R12" i="15"/>
  <c r="G8" i="15"/>
  <c r="I9" i="15" a="1"/>
  <c r="I9" i="15"/>
  <c r="S8" i="15"/>
  <c r="U6" i="15" a="1"/>
  <c r="U6" i="15"/>
  <c r="D8" i="15"/>
  <c r="F6" i="15"/>
  <c r="A8" i="15"/>
  <c r="C7" i="15" a="1"/>
  <c r="C7" i="15"/>
  <c r="J8" i="15"/>
  <c r="L7" i="15" a="1"/>
  <c r="L7" i="15"/>
  <c r="M8" i="15"/>
  <c r="O8" i="15" a="1"/>
  <c r="O8" i="15"/>
  <c r="A7" i="15"/>
  <c r="B6" i="15" a="1"/>
  <c r="B6" i="15"/>
  <c r="F1" i="15"/>
  <c r="E2" i="7"/>
  <c r="E1" i="15"/>
  <c r="E1" i="7"/>
  <c r="M22" i="15"/>
  <c r="O28" i="15" a="1"/>
  <c r="O28" i="15"/>
  <c r="S49" i="15"/>
  <c r="U55" i="15" a="1"/>
  <c r="U55" i="15"/>
  <c r="S48" i="15"/>
  <c r="T47" i="15" a="1"/>
  <c r="T47" i="15"/>
  <c r="S40" i="15"/>
  <c r="S39" i="15"/>
  <c r="T45" i="15" a="1"/>
  <c r="T45" i="15"/>
  <c r="S31" i="15"/>
  <c r="S30" i="15"/>
  <c r="T35" i="15" a="1"/>
  <c r="T35" i="15"/>
  <c r="S22" i="15"/>
  <c r="U22" i="15" a="1"/>
  <c r="U22" i="15"/>
  <c r="S21" i="15"/>
  <c r="T27" i="15" a="1"/>
  <c r="T27" i="15"/>
  <c r="S12" i="15"/>
  <c r="T12" i="15" a="1"/>
  <c r="T12" i="15"/>
  <c r="S7" i="15"/>
  <c r="T6" i="15" a="1"/>
  <c r="T6" i="15"/>
  <c r="P49" i="15"/>
  <c r="P48" i="15"/>
  <c r="Q51" i="15" a="1"/>
  <c r="Q51" i="15"/>
  <c r="P40" i="15"/>
  <c r="R40" i="15" a="1"/>
  <c r="R40" i="15"/>
  <c r="P39" i="15"/>
  <c r="Q46" i="15" a="1"/>
  <c r="Q46" i="15"/>
  <c r="P31" i="15"/>
  <c r="R32" i="15" a="1"/>
  <c r="R32" i="15"/>
  <c r="P30" i="15"/>
  <c r="Q33" i="15" a="1"/>
  <c r="Q33" i="15"/>
  <c r="P22" i="15"/>
  <c r="P21" i="15"/>
  <c r="R22" i="15" a="1"/>
  <c r="R22" i="15"/>
  <c r="R19" i="15" a="1"/>
  <c r="R19" i="15"/>
  <c r="P12" i="15"/>
  <c r="Q12" i="15" a="1"/>
  <c r="Q12" i="15"/>
  <c r="P8" i="15"/>
  <c r="R7" i="15" a="1"/>
  <c r="R7" i="15"/>
  <c r="P7" i="15"/>
  <c r="M49" i="15"/>
  <c r="O54" i="15" a="1"/>
  <c r="O54" i="15"/>
  <c r="M48" i="15"/>
  <c r="N50" i="15" a="1"/>
  <c r="N50" i="15"/>
  <c r="M40" i="15"/>
  <c r="O45" i="15" a="1"/>
  <c r="O45" i="15"/>
  <c r="M39" i="15"/>
  <c r="N45" i="15" a="1"/>
  <c r="N45" i="15"/>
  <c r="M31" i="15"/>
  <c r="O29" i="15" a="1"/>
  <c r="O29" i="15"/>
  <c r="M30" i="15"/>
  <c r="N33" i="15" a="1"/>
  <c r="N33" i="15"/>
  <c r="M21" i="15"/>
  <c r="N22" i="15" a="1"/>
  <c r="N22" i="15"/>
  <c r="M12" i="15"/>
  <c r="N16" i="15" a="1"/>
  <c r="N16" i="15"/>
  <c r="M7" i="15"/>
  <c r="N8" i="15" a="1"/>
  <c r="N8" i="15"/>
  <c r="J49" i="15"/>
  <c r="L49" i="15" a="1"/>
  <c r="L49" i="15"/>
  <c r="J48" i="15"/>
  <c r="K51" i="15" a="1"/>
  <c r="K51" i="15"/>
  <c r="J40" i="15"/>
  <c r="L45" i="15" a="1"/>
  <c r="L45" i="15"/>
  <c r="J39" i="15"/>
  <c r="K44" i="15" a="1"/>
  <c r="K44" i="15"/>
  <c r="J31" i="15"/>
  <c r="L34" i="15" a="1"/>
  <c r="L34" i="15"/>
  <c r="J30" i="15"/>
  <c r="K29" i="15" a="1"/>
  <c r="K29" i="15"/>
  <c r="J22" i="15"/>
  <c r="L28" i="15" a="1"/>
  <c r="L28" i="15"/>
  <c r="J21" i="15"/>
  <c r="K26" i="15" a="1"/>
  <c r="K26" i="15"/>
  <c r="J12" i="15"/>
  <c r="K14" i="15" a="1"/>
  <c r="K14" i="15"/>
  <c r="J7" i="15"/>
  <c r="K9" i="15" a="1"/>
  <c r="K9" i="15"/>
  <c r="G49" i="15"/>
  <c r="I48" i="15" a="1"/>
  <c r="I48" i="15"/>
  <c r="G48" i="15"/>
  <c r="H48" i="15" a="1"/>
  <c r="H48" i="15"/>
  <c r="G40" i="15"/>
  <c r="I38" i="15" a="1"/>
  <c r="I38" i="15"/>
  <c r="G39" i="15"/>
  <c r="H39" i="15" a="1"/>
  <c r="H39" i="15"/>
  <c r="G31" i="15"/>
  <c r="I30" i="15" a="1"/>
  <c r="I30" i="15"/>
  <c r="G30" i="15"/>
  <c r="H32" i="15" a="1"/>
  <c r="H32" i="15"/>
  <c r="G22" i="15"/>
  <c r="I21" i="15" a="1"/>
  <c r="I21" i="15"/>
  <c r="G21" i="15"/>
  <c r="H23" i="15" a="1"/>
  <c r="H23" i="15"/>
  <c r="G12" i="15"/>
  <c r="H15" i="15" a="1"/>
  <c r="H15" i="15"/>
  <c r="G7" i="15"/>
  <c r="H8" i="15" a="1"/>
  <c r="H8" i="15"/>
  <c r="D49" i="15"/>
  <c r="F48" i="15" a="1"/>
  <c r="F48" i="15"/>
  <c r="D48" i="15"/>
  <c r="E47" i="15" a="1"/>
  <c r="E47" i="15"/>
  <c r="D40" i="15"/>
  <c r="F38" i="15" a="1"/>
  <c r="F38" i="15"/>
  <c r="D39" i="15"/>
  <c r="D31" i="15"/>
  <c r="F36" i="15" a="1"/>
  <c r="F36" i="15"/>
  <c r="D30" i="15"/>
  <c r="E32" i="15" a="1"/>
  <c r="E32" i="15"/>
  <c r="D22" i="15"/>
  <c r="F22" i="15" a="1"/>
  <c r="F22" i="15"/>
  <c r="D21" i="15"/>
  <c r="E21" i="15" a="1"/>
  <c r="E21" i="15"/>
  <c r="D12" i="15"/>
  <c r="E11" i="15" a="1"/>
  <c r="E11" i="15"/>
  <c r="D7" i="15"/>
  <c r="E6" i="15"/>
  <c r="Q53" i="15" a="1"/>
  <c r="Q53" i="15"/>
  <c r="R37" i="15" a="1"/>
  <c r="R37" i="15"/>
  <c r="R31" i="15" a="1"/>
  <c r="R31" i="15"/>
  <c r="T25" i="15" a="1"/>
  <c r="T25" i="15"/>
  <c r="U44" i="15" a="1"/>
  <c r="U44" i="15"/>
  <c r="R35" i="15" a="1"/>
  <c r="R35" i="15"/>
  <c r="R30" i="15" a="1"/>
  <c r="R30" i="15"/>
  <c r="Q42" i="15" a="1"/>
  <c r="Q42" i="15"/>
  <c r="R34" i="15" a="1"/>
  <c r="R34" i="15"/>
  <c r="R29" i="15" a="1"/>
  <c r="R29" i="15"/>
  <c r="R33" i="15" a="1"/>
  <c r="R33" i="15"/>
  <c r="R54" i="15" a="1"/>
  <c r="R54" i="15"/>
  <c r="Q34" i="15" a="1"/>
  <c r="Q34" i="15"/>
  <c r="Q30" i="15" a="1"/>
  <c r="Q30" i="15"/>
  <c r="R36" i="15" a="1"/>
  <c r="R36" i="15"/>
  <c r="Q35" i="15" a="1"/>
  <c r="Q35" i="15"/>
  <c r="Q31" i="15" a="1"/>
  <c r="Q31" i="15"/>
  <c r="R38" i="15" a="1"/>
  <c r="R38" i="15"/>
  <c r="Q45" i="15" a="1"/>
  <c r="Q45" i="15"/>
  <c r="Q47" i="15" a="1"/>
  <c r="Q47" i="15"/>
  <c r="R55" i="15" a="1"/>
  <c r="R55" i="15"/>
  <c r="Q50" i="15" a="1"/>
  <c r="Q50" i="15"/>
  <c r="Q36" i="15" a="1"/>
  <c r="Q36" i="15"/>
  <c r="Q32" i="15" a="1"/>
  <c r="Q32" i="15"/>
  <c r="R44" i="15" a="1"/>
  <c r="R44" i="15"/>
  <c r="R52" i="15" a="1"/>
  <c r="R52" i="15"/>
  <c r="R48" i="15" a="1"/>
  <c r="R48" i="15"/>
  <c r="E53" i="15" a="1"/>
  <c r="E53" i="15"/>
  <c r="Q29" i="15" a="1"/>
  <c r="Q29" i="15"/>
  <c r="Q37" i="15" a="1"/>
  <c r="Q37" i="15"/>
  <c r="R47" i="15" a="1"/>
  <c r="R47" i="15"/>
  <c r="R53" i="15" a="1"/>
  <c r="R53" i="15"/>
  <c r="Q14" i="15" a="1"/>
  <c r="Q14" i="15"/>
  <c r="Q13" i="15" a="1"/>
  <c r="Q13" i="15"/>
  <c r="Q9" i="15" a="1"/>
  <c r="Q9" i="15"/>
  <c r="Q19" i="15" a="1"/>
  <c r="Q19" i="15"/>
  <c r="Q16" i="15" a="1"/>
  <c r="Q16" i="15"/>
  <c r="H24" i="15" a="1"/>
  <c r="H24" i="15"/>
  <c r="E49" i="15" a="1"/>
  <c r="E49" i="15"/>
  <c r="E23" i="15" a="1"/>
  <c r="E23" i="15"/>
  <c r="F47" i="15" a="1"/>
  <c r="F47" i="15"/>
  <c r="E52" i="15" a="1"/>
  <c r="E52" i="15"/>
  <c r="E48" i="15" a="1"/>
  <c r="E48" i="15"/>
  <c r="K7" i="15" a="1"/>
  <c r="K7" i="15"/>
  <c r="E22" i="15" a="1"/>
  <c r="E22" i="15"/>
  <c r="K8" i="15" a="1"/>
  <c r="K8" i="15"/>
  <c r="K34" i="15" a="1"/>
  <c r="K34" i="15"/>
  <c r="E25" i="15" a="1"/>
  <c r="E25" i="15"/>
  <c r="E27" i="15" a="1"/>
  <c r="E27" i="15"/>
  <c r="E50" i="15" a="1"/>
  <c r="E50" i="15"/>
  <c r="H42" i="15" a="1"/>
  <c r="H42" i="15"/>
  <c r="H40" i="15" a="1"/>
  <c r="H40" i="15"/>
  <c r="F30" i="15" a="1"/>
  <c r="F30" i="15"/>
  <c r="F32" i="15" a="1"/>
  <c r="F32" i="15"/>
  <c r="F34" i="15" a="1"/>
  <c r="F34" i="15"/>
  <c r="E31" i="15" a="1"/>
  <c r="E31" i="15"/>
  <c r="E34" i="15" a="1"/>
  <c r="E34" i="15"/>
  <c r="E36" i="15" a="1"/>
  <c r="E36" i="15"/>
  <c r="E37" i="15" a="1"/>
  <c r="E37" i="15"/>
  <c r="E15" i="15" a="1"/>
  <c r="E15" i="15"/>
  <c r="E18" i="15" a="1"/>
  <c r="E18" i="15"/>
  <c r="E39" i="15" a="1"/>
  <c r="E39" i="15"/>
  <c r="E41" i="15" a="1"/>
  <c r="E41" i="15"/>
  <c r="E43" i="15" a="1"/>
  <c r="E43" i="15"/>
  <c r="E45" i="15" a="1"/>
  <c r="E45" i="15"/>
  <c r="E38" i="15" a="1"/>
  <c r="E38" i="15"/>
  <c r="E40" i="15" a="1"/>
  <c r="E40" i="15"/>
  <c r="E42" i="15" a="1"/>
  <c r="E42" i="15"/>
  <c r="E44" i="15" a="1"/>
  <c r="E44" i="15"/>
  <c r="E46" i="15" a="1"/>
  <c r="E46" i="15"/>
  <c r="E28" i="15" a="1"/>
  <c r="E28" i="15"/>
  <c r="F55" i="15" a="1"/>
  <c r="F55" i="15"/>
  <c r="F54" i="15" a="1"/>
  <c r="F54" i="15"/>
  <c r="F53" i="15" a="1"/>
  <c r="F53" i="15"/>
  <c r="F52" i="15" a="1"/>
  <c r="F52" i="15"/>
  <c r="F51" i="15" a="1"/>
  <c r="F51" i="15"/>
  <c r="F50" i="15" a="1"/>
  <c r="F50" i="15"/>
  <c r="F49" i="15" a="1"/>
  <c r="F49" i="15"/>
  <c r="E10" i="15"/>
  <c r="E9" i="15"/>
  <c r="E7" i="15"/>
  <c r="A49" i="15"/>
  <c r="C48" i="15" a="1"/>
  <c r="C48" i="15"/>
  <c r="A48" i="15"/>
  <c r="B52" i="15" a="1"/>
  <c r="B52" i="15"/>
  <c r="A40" i="15"/>
  <c r="C45" i="15" a="1"/>
  <c r="C45" i="15"/>
  <c r="A39" i="15"/>
  <c r="B40" i="15" a="1"/>
  <c r="B40" i="15"/>
  <c r="A31" i="15"/>
  <c r="C30" i="15" a="1"/>
  <c r="C30" i="15"/>
  <c r="A30" i="15"/>
  <c r="B32" i="15" a="1"/>
  <c r="B32" i="15"/>
  <c r="A22" i="15"/>
  <c r="C23" i="15" a="1"/>
  <c r="C23" i="15"/>
  <c r="A21" i="15"/>
  <c r="B28" i="15" a="1"/>
  <c r="B28" i="15"/>
  <c r="A12" i="15"/>
  <c r="B13" i="15" a="1"/>
  <c r="B13" i="15"/>
  <c r="B30" i="15" a="1"/>
  <c r="B30" i="15"/>
  <c r="B53" i="15" a="1"/>
  <c r="B53" i="15"/>
  <c r="C17" i="7"/>
  <c r="B17" i="7"/>
  <c r="C15" i="7"/>
  <c r="B15" i="7"/>
  <c r="C13" i="7"/>
  <c r="B13" i="7"/>
  <c r="C11" i="7"/>
  <c r="B11" i="7"/>
  <c r="C9" i="7"/>
  <c r="B9" i="7"/>
  <c r="C7" i="7"/>
  <c r="B7" i="7"/>
  <c r="C5" i="7"/>
  <c r="B5" i="7"/>
  <c r="T20" i="15" a="1"/>
  <c r="T20" i="15"/>
  <c r="T46" i="15" a="1"/>
  <c r="T46" i="15"/>
  <c r="U13" i="15" a="1"/>
  <c r="U13" i="15"/>
  <c r="N13" i="15" a="1"/>
  <c r="N13" i="15"/>
  <c r="N12" i="15" a="1"/>
  <c r="N12" i="15"/>
  <c r="O14" i="15" a="1"/>
  <c r="O14" i="15"/>
  <c r="K20" i="15" a="1"/>
  <c r="K20" i="15"/>
  <c r="K22" i="15" a="1"/>
  <c r="K22" i="15"/>
  <c r="L12" i="15" a="1"/>
  <c r="L12" i="15"/>
  <c r="K23" i="15" a="1"/>
  <c r="K23" i="15"/>
  <c r="K38" i="15" a="1"/>
  <c r="K38" i="15"/>
  <c r="H46" i="15" a="1"/>
  <c r="H46" i="15"/>
  <c r="H25" i="15" a="1"/>
  <c r="H25" i="15"/>
  <c r="F46" i="15" a="1"/>
  <c r="F46" i="15"/>
  <c r="F24" i="15" a="1"/>
  <c r="F24" i="15"/>
  <c r="F27" i="15" a="1"/>
  <c r="F27" i="15"/>
  <c r="F43" i="15" a="1"/>
  <c r="F43" i="15"/>
  <c r="F16" i="15" a="1"/>
  <c r="F16" i="15"/>
  <c r="T33" i="15" a="1"/>
  <c r="T33" i="15"/>
  <c r="T31" i="15" a="1"/>
  <c r="T31" i="15"/>
  <c r="T34" i="15" a="1"/>
  <c r="T34" i="15"/>
  <c r="T37" i="15" a="1"/>
  <c r="T37" i="15"/>
  <c r="T29" i="15" a="1"/>
  <c r="T29" i="15"/>
  <c r="T36" i="15" a="1"/>
  <c r="T36" i="15"/>
  <c r="T30" i="15" a="1"/>
  <c r="T30" i="15"/>
  <c r="U11" i="15" a="1"/>
  <c r="U11" i="15"/>
  <c r="F39" i="15" a="1"/>
  <c r="F39" i="15"/>
  <c r="F42" i="15" a="1"/>
  <c r="F42" i="15"/>
  <c r="F26" i="15" a="1"/>
  <c r="F26" i="15"/>
  <c r="E17" i="15" a="1"/>
  <c r="E17" i="15"/>
  <c r="E12" i="15" a="1"/>
  <c r="E12" i="15"/>
  <c r="F20" i="15" a="1"/>
  <c r="F20" i="15"/>
  <c r="F15" i="15" a="1"/>
  <c r="F15" i="15"/>
  <c r="F12" i="15" a="1"/>
  <c r="F12" i="15"/>
  <c r="E24" i="15" a="1"/>
  <c r="E24" i="15"/>
  <c r="F45" i="15" a="1"/>
  <c r="F45" i="15"/>
  <c r="F44" i="15" a="1"/>
  <c r="F44" i="15"/>
  <c r="F21" i="15" a="1"/>
  <c r="F21" i="15"/>
  <c r="E19" i="15" a="1"/>
  <c r="E19" i="15"/>
  <c r="E14" i="15" a="1"/>
  <c r="E14" i="15"/>
  <c r="E29" i="15" a="1"/>
  <c r="E29" i="15"/>
  <c r="E33" i="15" a="1"/>
  <c r="E33" i="15"/>
  <c r="E30" i="15" a="1"/>
  <c r="E30" i="15"/>
  <c r="E51" i="15" a="1"/>
  <c r="E51" i="15"/>
  <c r="E20" i="15" a="1"/>
  <c r="E20" i="15"/>
  <c r="F10" i="15"/>
  <c r="F19" i="15" a="1"/>
  <c r="F19" i="15"/>
  <c r="F14" i="15" a="1"/>
  <c r="F14" i="15"/>
  <c r="F41" i="15" a="1"/>
  <c r="F41" i="15"/>
  <c r="F40" i="15" a="1"/>
  <c r="F40" i="15"/>
  <c r="F28" i="15" a="1"/>
  <c r="F28" i="15"/>
  <c r="F25" i="15" a="1"/>
  <c r="F25" i="15"/>
  <c r="E16" i="15" a="1"/>
  <c r="E16" i="15"/>
  <c r="E13" i="15" a="1"/>
  <c r="E13" i="15"/>
  <c r="E35" i="15" a="1"/>
  <c r="E35" i="15"/>
  <c r="E26" i="15" a="1"/>
  <c r="E26" i="15"/>
  <c r="F23" i="15" a="1"/>
  <c r="F23" i="15"/>
  <c r="E54" i="15" a="1"/>
  <c r="E54" i="15"/>
  <c r="E55" i="15" a="1"/>
  <c r="E55" i="15"/>
  <c r="F9" i="15"/>
  <c r="F18" i="15" a="1"/>
  <c r="F18" i="15"/>
  <c r="F13" i="15" a="1"/>
  <c r="F13" i="15"/>
  <c r="F11" i="15" a="1"/>
  <c r="F11" i="15"/>
  <c r="O13" i="15" a="1"/>
  <c r="O13" i="15"/>
  <c r="I31" i="15" a="1"/>
  <c r="I31" i="15"/>
  <c r="H43" i="15" a="1"/>
  <c r="H43" i="15"/>
  <c r="H22" i="15" a="1"/>
  <c r="H22" i="15"/>
  <c r="H45" i="15" a="1"/>
  <c r="H45" i="15"/>
  <c r="H11" i="15" a="1"/>
  <c r="H11" i="15"/>
  <c r="H20" i="15" a="1"/>
  <c r="H20" i="15"/>
  <c r="H28" i="15" a="1"/>
  <c r="H28" i="15"/>
  <c r="I16" i="15" a="1"/>
  <c r="I16" i="15"/>
  <c r="H47" i="15" a="1"/>
  <c r="H47" i="15"/>
  <c r="I33" i="15" a="1"/>
  <c r="I33" i="15"/>
  <c r="H37" i="15" a="1"/>
  <c r="H37" i="15"/>
  <c r="H54" i="15" a="1"/>
  <c r="H54" i="15"/>
  <c r="T26" i="15" a="1"/>
  <c r="T26" i="15"/>
  <c r="T23" i="15" a="1"/>
  <c r="T23" i="15"/>
  <c r="T52" i="15" a="1"/>
  <c r="T52" i="15"/>
  <c r="T41" i="15" a="1"/>
  <c r="T41" i="15"/>
  <c r="T24" i="15" a="1"/>
  <c r="T24" i="15"/>
  <c r="T54" i="15" a="1"/>
  <c r="T54" i="15"/>
  <c r="U19" i="15" a="1"/>
  <c r="U19" i="15"/>
  <c r="T40" i="15" a="1"/>
  <c r="T40" i="15"/>
  <c r="T44" i="15" a="1"/>
  <c r="T44" i="15"/>
  <c r="T43" i="15" a="1"/>
  <c r="T43" i="15"/>
  <c r="T42" i="15" a="1"/>
  <c r="T42" i="15"/>
  <c r="U52" i="15" a="1"/>
  <c r="U52" i="15"/>
  <c r="T39" i="15" a="1"/>
  <c r="T39" i="15"/>
  <c r="U16" i="15" a="1"/>
  <c r="U16" i="15"/>
  <c r="T15" i="15" a="1"/>
  <c r="T15" i="15"/>
  <c r="U23" i="15" a="1"/>
  <c r="U23" i="15"/>
  <c r="U47" i="15" a="1"/>
  <c r="U47" i="15"/>
  <c r="U48" i="15" a="1"/>
  <c r="U48" i="15"/>
  <c r="T51" i="15" a="1"/>
  <c r="T51" i="15"/>
  <c r="U26" i="15" a="1"/>
  <c r="U26" i="15"/>
  <c r="U24" i="15" a="1"/>
  <c r="U24" i="15"/>
  <c r="U25" i="15" a="1"/>
  <c r="U25" i="15"/>
  <c r="U10" i="15" a="1"/>
  <c r="U10" i="15"/>
  <c r="U15" i="15" a="1"/>
  <c r="U15" i="15"/>
  <c r="U53" i="15" a="1"/>
  <c r="U53" i="15"/>
  <c r="U27" i="15" a="1"/>
  <c r="U27" i="15"/>
  <c r="U28" i="15" a="1"/>
  <c r="U28" i="15"/>
  <c r="T10" i="15" a="1"/>
  <c r="T10" i="15"/>
  <c r="T7" i="15" a="1"/>
  <c r="T7" i="15"/>
  <c r="U14" i="15" a="1"/>
  <c r="U14" i="15"/>
  <c r="U51" i="15" a="1"/>
  <c r="U51" i="15"/>
  <c r="T16" i="15" a="1"/>
  <c r="T16" i="15"/>
  <c r="T19" i="15" a="1"/>
  <c r="T19" i="15"/>
  <c r="U49" i="15" a="1"/>
  <c r="U49" i="15"/>
  <c r="T13" i="15" a="1"/>
  <c r="T13" i="15"/>
  <c r="T17" i="15" a="1"/>
  <c r="T17" i="15"/>
  <c r="U54" i="15" a="1"/>
  <c r="U54" i="15"/>
  <c r="T50" i="15" a="1"/>
  <c r="T50" i="15"/>
  <c r="T55" i="15" a="1"/>
  <c r="T55" i="15"/>
  <c r="T49" i="15" a="1"/>
  <c r="T49" i="15"/>
  <c r="T38" i="15" a="1"/>
  <c r="T38" i="15"/>
  <c r="T11" i="15" a="1"/>
  <c r="T11" i="15"/>
  <c r="T9" i="15" a="1"/>
  <c r="T9" i="15"/>
  <c r="T14" i="15" a="1"/>
  <c r="T14" i="15"/>
  <c r="T18" i="15" a="1"/>
  <c r="T18" i="15"/>
  <c r="U50" i="15" a="1"/>
  <c r="U50" i="15"/>
  <c r="T22" i="15" a="1"/>
  <c r="T22" i="15"/>
  <c r="T48" i="15" a="1"/>
  <c r="T48" i="15"/>
  <c r="T53" i="15" a="1"/>
  <c r="T53" i="15"/>
  <c r="T32" i="15" a="1"/>
  <c r="T32" i="15"/>
  <c r="T8" i="15" a="1"/>
  <c r="T8" i="15"/>
  <c r="Q54" i="15" a="1"/>
  <c r="Q54" i="15"/>
  <c r="Q40" i="15" a="1"/>
  <c r="Q40" i="15"/>
  <c r="Q49" i="15" a="1"/>
  <c r="Q49" i="15"/>
  <c r="Q38" i="15" a="1"/>
  <c r="Q38" i="15"/>
  <c r="Q11" i="15" a="1"/>
  <c r="Q11" i="15"/>
  <c r="Q17" i="15" a="1"/>
  <c r="Q17" i="15"/>
  <c r="Q52" i="15" a="1"/>
  <c r="Q52" i="15"/>
  <c r="Q55" i="15" a="1"/>
  <c r="Q55" i="15"/>
  <c r="Q43" i="15" a="1"/>
  <c r="Q43" i="15"/>
  <c r="Q44" i="15" a="1"/>
  <c r="Q44" i="15"/>
  <c r="Q39" i="15" a="1"/>
  <c r="Q39" i="15"/>
  <c r="Q48" i="15" a="1"/>
  <c r="Q48" i="15"/>
  <c r="Q15" i="15" a="1"/>
  <c r="Q15" i="15"/>
  <c r="Q18" i="15" a="1"/>
  <c r="Q18" i="15"/>
  <c r="R46" i="15" a="1"/>
  <c r="R46" i="15"/>
  <c r="Q41" i="15" a="1"/>
  <c r="Q41" i="15"/>
  <c r="R41" i="15" a="1"/>
  <c r="R41" i="15"/>
  <c r="N40" i="15" a="1"/>
  <c r="N40" i="15"/>
  <c r="O26" i="15" a="1"/>
  <c r="O26" i="15"/>
  <c r="O12" i="15" a="1"/>
  <c r="O12" i="15"/>
  <c r="O11" i="15" a="1"/>
  <c r="O11" i="15"/>
  <c r="N34" i="15" a="1"/>
  <c r="N34" i="15"/>
  <c r="N49" i="15" a="1"/>
  <c r="N49" i="15"/>
  <c r="N47" i="15" a="1"/>
  <c r="N47" i="15"/>
  <c r="N19" i="15" a="1"/>
  <c r="N19" i="15"/>
  <c r="N53" i="15" a="1"/>
  <c r="N53" i="15"/>
  <c r="O35" i="15" a="1"/>
  <c r="O35" i="15"/>
  <c r="O40" i="15" a="1"/>
  <c r="O40" i="15"/>
  <c r="N54" i="15" a="1"/>
  <c r="N54" i="15"/>
  <c r="N48" i="15" a="1"/>
  <c r="N48" i="15"/>
  <c r="O18" i="15" a="1"/>
  <c r="O18" i="15"/>
  <c r="N36" i="15" a="1"/>
  <c r="N36" i="15"/>
  <c r="N35" i="15" a="1"/>
  <c r="N35" i="15"/>
  <c r="O51" i="15" a="1"/>
  <c r="O51" i="15"/>
  <c r="O41" i="15" a="1"/>
  <c r="O41" i="15"/>
  <c r="O36" i="15" a="1"/>
  <c r="O36" i="15"/>
  <c r="N44" i="15" a="1"/>
  <c r="N44" i="15"/>
  <c r="O17" i="15" a="1"/>
  <c r="O17" i="15"/>
  <c r="O30" i="15" a="1"/>
  <c r="O30" i="15"/>
  <c r="N10" i="15" a="1"/>
  <c r="N10" i="15"/>
  <c r="N17" i="15" a="1"/>
  <c r="N17" i="15"/>
  <c r="N51" i="15" a="1"/>
  <c r="N51" i="15"/>
  <c r="N55" i="15" a="1"/>
  <c r="N55" i="15"/>
  <c r="O37" i="15" a="1"/>
  <c r="O37" i="15"/>
  <c r="O34" i="15" a="1"/>
  <c r="O34" i="15"/>
  <c r="N18" i="15" a="1"/>
  <c r="N18" i="15"/>
  <c r="N52" i="15" a="1"/>
  <c r="N52" i="15"/>
  <c r="O16" i="15" a="1"/>
  <c r="O16" i="15"/>
  <c r="N6" i="15" a="1"/>
  <c r="N6" i="15"/>
  <c r="N29" i="15" a="1"/>
  <c r="N29" i="15"/>
  <c r="O46" i="15" a="1"/>
  <c r="O46" i="15"/>
  <c r="O38" i="15" a="1"/>
  <c r="O38" i="15"/>
  <c r="O55" i="15" a="1"/>
  <c r="O55" i="15"/>
  <c r="O48" i="15" a="1"/>
  <c r="O48" i="15"/>
  <c r="O49" i="15" a="1"/>
  <c r="O49" i="15"/>
  <c r="N9" i="15" a="1"/>
  <c r="N9" i="15"/>
  <c r="O39" i="15" a="1"/>
  <c r="O39" i="15"/>
  <c r="N15" i="15" a="1"/>
  <c r="N15" i="15"/>
  <c r="O44" i="15" a="1"/>
  <c r="O44" i="15"/>
  <c r="N30" i="15" a="1"/>
  <c r="N30" i="15"/>
  <c r="O53" i="15" a="1"/>
  <c r="O53" i="15"/>
  <c r="N7" i="15" a="1"/>
  <c r="N7" i="15"/>
  <c r="O43" i="15" a="1"/>
  <c r="O43" i="15"/>
  <c r="N37" i="15" a="1"/>
  <c r="N37" i="15"/>
  <c r="N11" i="15" a="1"/>
  <c r="N11" i="15"/>
  <c r="N32" i="15" a="1"/>
  <c r="N32" i="15"/>
  <c r="O42" i="15" a="1"/>
  <c r="O42" i="15"/>
  <c r="N31" i="15" a="1"/>
  <c r="N31" i="15"/>
  <c r="N14" i="15" a="1"/>
  <c r="N14" i="15"/>
  <c r="O52" i="15" a="1"/>
  <c r="O52" i="15"/>
  <c r="O50" i="15" a="1"/>
  <c r="O50" i="15"/>
  <c r="O47" i="15" a="1"/>
  <c r="O47" i="15"/>
  <c r="O19" i="15" a="1"/>
  <c r="O19" i="15"/>
  <c r="L29" i="15" a="1"/>
  <c r="L29" i="15"/>
  <c r="L38" i="15" a="1"/>
  <c r="L38" i="15"/>
  <c r="L19" i="15" a="1"/>
  <c r="L19" i="15"/>
  <c r="K32" i="15" a="1"/>
  <c r="K32" i="15"/>
  <c r="L16" i="15" a="1"/>
  <c r="L16" i="15"/>
  <c r="L36" i="15" a="1"/>
  <c r="L36" i="15"/>
  <c r="L55" i="15" a="1"/>
  <c r="L55" i="15"/>
  <c r="L31" i="15" a="1"/>
  <c r="L31" i="15"/>
  <c r="L37" i="15" a="1"/>
  <c r="L37" i="15"/>
  <c r="L43" i="15" a="1"/>
  <c r="L43" i="15"/>
  <c r="L35" i="15" a="1"/>
  <c r="L35" i="15"/>
  <c r="K11" i="15" a="1"/>
  <c r="K11" i="15"/>
  <c r="K10" i="15" a="1"/>
  <c r="K10" i="15"/>
  <c r="K12" i="15" a="1"/>
  <c r="K12" i="15"/>
  <c r="K13" i="15" a="1"/>
  <c r="K13" i="15"/>
  <c r="K15" i="15" a="1"/>
  <c r="K15" i="15"/>
  <c r="K35" i="15" a="1"/>
  <c r="K35" i="15"/>
  <c r="K28" i="15" a="1"/>
  <c r="K28" i="15"/>
  <c r="K16" i="15" a="1"/>
  <c r="K16" i="15"/>
  <c r="K37" i="15" a="1"/>
  <c r="K37" i="15"/>
  <c r="K25" i="15" a="1"/>
  <c r="K25" i="15"/>
  <c r="L32" i="15" a="1"/>
  <c r="L32" i="15"/>
  <c r="L24" i="15" a="1"/>
  <c r="L24" i="15"/>
  <c r="L47" i="15" a="1"/>
  <c r="L47" i="15"/>
  <c r="L52" i="15" a="1"/>
  <c r="L52" i="15"/>
  <c r="K30" i="15" a="1"/>
  <c r="K30" i="15"/>
  <c r="L54" i="15" a="1"/>
  <c r="L54" i="15"/>
  <c r="K18" i="15" a="1"/>
  <c r="K18" i="15"/>
  <c r="K41" i="15" a="1"/>
  <c r="K41" i="15"/>
  <c r="K43" i="15" a="1"/>
  <c r="K43" i="15"/>
  <c r="L26" i="15" a="1"/>
  <c r="L26" i="15"/>
  <c r="L51" i="15" a="1"/>
  <c r="L51" i="15"/>
  <c r="K19" i="15" a="1"/>
  <c r="K19" i="15"/>
  <c r="L21" i="15" a="1"/>
  <c r="L21" i="15"/>
  <c r="K17" i="15" a="1"/>
  <c r="K17" i="15"/>
  <c r="L53" i="15" a="1"/>
  <c r="L53" i="15"/>
  <c r="L48" i="15" a="1"/>
  <c r="L48" i="15"/>
  <c r="K21" i="15" a="1"/>
  <c r="K21" i="15"/>
  <c r="K6" i="15" a="1"/>
  <c r="K6" i="15"/>
  <c r="L30" i="15" a="1"/>
  <c r="L30" i="15"/>
  <c r="L33" i="15" a="1"/>
  <c r="L33" i="15"/>
  <c r="L20" i="15" a="1"/>
  <c r="L20" i="15"/>
  <c r="K50" i="15" a="1"/>
  <c r="K50" i="15"/>
  <c r="K46" i="15" a="1"/>
  <c r="K46" i="15"/>
  <c r="K24" i="15" a="1"/>
  <c r="K24" i="15"/>
  <c r="K48" i="15" a="1"/>
  <c r="K48" i="15"/>
  <c r="L50" i="15" a="1"/>
  <c r="L50" i="15"/>
  <c r="K27" i="15" a="1"/>
  <c r="K27" i="15"/>
  <c r="K55" i="15" a="1"/>
  <c r="K55" i="15"/>
  <c r="K42" i="15" a="1"/>
  <c r="K42" i="15"/>
  <c r="L25" i="15" a="1"/>
  <c r="L25" i="15"/>
  <c r="K53" i="15" a="1"/>
  <c r="K53" i="15"/>
  <c r="K52" i="15" a="1"/>
  <c r="K52" i="15"/>
  <c r="L27" i="15" a="1"/>
  <c r="L27" i="15"/>
  <c r="K40" i="15" a="1"/>
  <c r="K40" i="15"/>
  <c r="K47" i="15" a="1"/>
  <c r="K47" i="15"/>
  <c r="K54" i="15" a="1"/>
  <c r="K54" i="15"/>
  <c r="K49" i="15" a="1"/>
  <c r="K49" i="15"/>
  <c r="I35" i="15" a="1"/>
  <c r="I35" i="15"/>
  <c r="I40" i="15" a="1"/>
  <c r="I40" i="15"/>
  <c r="H49" i="15" a="1"/>
  <c r="H49" i="15"/>
  <c r="I22" i="15" a="1"/>
  <c r="I22" i="15"/>
  <c r="I34" i="15" a="1"/>
  <c r="I34" i="15"/>
  <c r="H52" i="15" a="1"/>
  <c r="H52" i="15"/>
  <c r="I46" i="15" a="1"/>
  <c r="I46" i="15"/>
  <c r="I28" i="15" a="1"/>
  <c r="I28" i="15"/>
  <c r="H50" i="15" a="1"/>
  <c r="H50" i="15"/>
  <c r="H55" i="15" a="1"/>
  <c r="H55" i="15"/>
  <c r="I20" i="15" a="1"/>
  <c r="I20" i="15"/>
  <c r="I32" i="15" a="1"/>
  <c r="I32" i="15"/>
  <c r="I37" i="15" a="1"/>
  <c r="I37" i="15"/>
  <c r="H51" i="15" a="1"/>
  <c r="H51" i="15"/>
  <c r="I51" i="15" a="1"/>
  <c r="I51" i="15"/>
  <c r="I44" i="15" a="1"/>
  <c r="I44" i="15"/>
  <c r="H41" i="15" a="1"/>
  <c r="H41" i="15"/>
  <c r="H44" i="15" a="1"/>
  <c r="H44" i="15"/>
  <c r="I39" i="15" a="1"/>
  <c r="I39" i="15"/>
  <c r="I41" i="15" a="1"/>
  <c r="I41" i="15"/>
  <c r="H21" i="15" a="1"/>
  <c r="H21" i="15"/>
  <c r="H38" i="15" a="1"/>
  <c r="H38" i="15"/>
  <c r="I54" i="15" a="1"/>
  <c r="I54" i="15"/>
  <c r="I24" i="15" a="1"/>
  <c r="I24" i="15"/>
  <c r="H9" i="15" a="1"/>
  <c r="H9" i="15"/>
  <c r="I49" i="15" a="1"/>
  <c r="I49" i="15"/>
  <c r="I52" i="15" a="1"/>
  <c r="I52" i="15"/>
  <c r="I55" i="15" a="1"/>
  <c r="I55" i="15"/>
  <c r="I42" i="15" a="1"/>
  <c r="I42" i="15"/>
  <c r="I45" i="15" a="1"/>
  <c r="I45" i="15"/>
  <c r="H10" i="15" a="1"/>
  <c r="H10" i="15"/>
  <c r="I27" i="15" a="1"/>
  <c r="I27" i="15"/>
  <c r="H7" i="15" a="1"/>
  <c r="H7" i="15"/>
  <c r="I50" i="15" a="1"/>
  <c r="I50" i="15"/>
  <c r="I53" i="15" a="1"/>
  <c r="I53" i="15"/>
  <c r="I43" i="15" a="1"/>
  <c r="I43" i="15"/>
  <c r="H27" i="15" a="1"/>
  <c r="H27" i="15"/>
  <c r="I36" i="15" a="1"/>
  <c r="I36" i="15"/>
  <c r="H26" i="15" a="1"/>
  <c r="H26" i="15"/>
  <c r="H53" i="15" a="1"/>
  <c r="H53" i="15"/>
  <c r="I47" i="15" a="1"/>
  <c r="I47" i="15"/>
  <c r="I26" i="15" a="1"/>
  <c r="I26" i="15"/>
  <c r="H6" i="15" a="1"/>
  <c r="H6" i="15"/>
  <c r="I25" i="15" a="1"/>
  <c r="I25" i="15"/>
  <c r="H19" i="15" a="1"/>
  <c r="H19" i="15"/>
  <c r="I29" i="15" a="1"/>
  <c r="I29" i="15"/>
  <c r="I23" i="15" a="1"/>
  <c r="I23" i="15"/>
  <c r="C47" i="15" a="1"/>
  <c r="C47" i="15"/>
  <c r="C39" i="15" a="1"/>
  <c r="C39" i="15"/>
  <c r="C43" i="15" a="1"/>
  <c r="C43" i="15"/>
  <c r="C9" i="15" a="1"/>
  <c r="C9" i="15"/>
  <c r="C33" i="15" a="1"/>
  <c r="C33" i="15"/>
  <c r="C54" i="15" a="1"/>
  <c r="C54" i="15"/>
  <c r="C53" i="15" a="1"/>
  <c r="C53" i="15"/>
  <c r="C34" i="15" a="1"/>
  <c r="C34" i="15"/>
  <c r="C29" i="15" a="1"/>
  <c r="C29" i="15"/>
  <c r="B24" i="15" a="1"/>
  <c r="B24" i="15"/>
  <c r="B14" i="15" a="1"/>
  <c r="B14" i="15"/>
  <c r="C55" i="15" a="1"/>
  <c r="C55" i="15"/>
  <c r="C36" i="15" a="1"/>
  <c r="C36" i="15"/>
  <c r="C35" i="15" a="1"/>
  <c r="C35" i="15"/>
  <c r="B8" i="15" a="1"/>
  <c r="B8" i="15"/>
  <c r="B17" i="15" a="1"/>
  <c r="B17" i="15"/>
  <c r="C24" i="15" a="1"/>
  <c r="C24" i="15"/>
  <c r="C25" i="15" a="1"/>
  <c r="C25" i="15"/>
  <c r="B35" i="15" a="1"/>
  <c r="B35" i="15"/>
  <c r="C19" i="15" a="1"/>
  <c r="C19" i="15"/>
  <c r="B54" i="15" a="1"/>
  <c r="B54" i="15"/>
  <c r="B51" i="15" a="1"/>
  <c r="B51" i="15"/>
  <c r="B31" i="15" a="1"/>
  <c r="B31" i="15"/>
  <c r="B36" i="15" a="1"/>
  <c r="B36" i="15"/>
  <c r="C52" i="15" a="1"/>
  <c r="C52" i="15"/>
  <c r="C51" i="15" a="1"/>
  <c r="C51" i="15"/>
  <c r="C49" i="15" a="1"/>
  <c r="C49" i="15"/>
  <c r="C37" i="15" a="1"/>
  <c r="C37" i="15"/>
  <c r="C31" i="15" a="1"/>
  <c r="C31" i="15"/>
  <c r="B50" i="15" a="1"/>
  <c r="B50" i="15"/>
  <c r="B29" i="15" a="1"/>
  <c r="B29" i="15"/>
  <c r="B15" i="15" a="1"/>
  <c r="B15" i="15"/>
  <c r="C18" i="15" a="1"/>
  <c r="C18" i="15"/>
  <c r="C50" i="15" a="1"/>
  <c r="C50" i="15"/>
  <c r="C32" i="15" a="1"/>
  <c r="C32" i="15"/>
  <c r="B39" i="15" a="1"/>
  <c r="B39" i="15"/>
  <c r="B49" i="15" a="1"/>
  <c r="B49" i="15"/>
  <c r="B55" i="15" a="1"/>
  <c r="B55" i="15"/>
  <c r="B48" i="15" a="1"/>
  <c r="B48" i="15"/>
  <c r="B33" i="15" a="1"/>
  <c r="B33" i="15"/>
  <c r="B34" i="15" a="1"/>
  <c r="B34" i="15"/>
  <c r="B16" i="15" a="1"/>
  <c r="B16" i="15"/>
  <c r="C14" i="15" a="1"/>
  <c r="C14" i="15"/>
  <c r="B43" i="15" a="1"/>
  <c r="B43" i="15"/>
  <c r="B20" i="15" a="1"/>
  <c r="B20" i="15"/>
  <c r="C44" i="15" a="1"/>
  <c r="C44" i="15"/>
  <c r="C20" i="15" a="1"/>
  <c r="C20" i="15"/>
  <c r="C21" i="15" a="1"/>
  <c r="C21" i="15"/>
  <c r="B21" i="15" a="1"/>
  <c r="B21" i="15"/>
  <c r="B9" i="15" a="1"/>
  <c r="B9" i="15"/>
  <c r="C17" i="15" a="1"/>
  <c r="C17" i="15"/>
  <c r="C12" i="15" a="1"/>
  <c r="C12" i="15"/>
  <c r="C38" i="15" a="1"/>
  <c r="C38" i="15"/>
  <c r="C22" i="15" a="1"/>
  <c r="C22" i="15"/>
  <c r="B7" i="15" a="1"/>
  <c r="B7" i="15"/>
  <c r="B10" i="15" a="1"/>
  <c r="B10" i="15"/>
  <c r="B47" i="15" a="1"/>
  <c r="B47" i="15"/>
  <c r="B37" i="15" a="1"/>
  <c r="B37" i="15"/>
  <c r="L40" i="15" a="1"/>
  <c r="L40" i="15"/>
  <c r="L41" i="15" a="1"/>
  <c r="L41" i="15"/>
  <c r="L42" i="15" a="1"/>
  <c r="L42" i="15"/>
  <c r="L46" i="15" a="1"/>
  <c r="L46" i="15"/>
  <c r="L44" i="15" a="1"/>
  <c r="L44" i="15"/>
  <c r="L39" i="15" a="1"/>
  <c r="L39" i="15"/>
  <c r="N21" i="15" a="1"/>
  <c r="N21" i="15"/>
  <c r="N24" i="15" a="1"/>
  <c r="N24" i="15"/>
  <c r="N28" i="15" a="1"/>
  <c r="N28" i="15"/>
  <c r="N23" i="15" a="1"/>
  <c r="N23" i="15"/>
  <c r="N27" i="15" a="1"/>
  <c r="N27" i="15"/>
  <c r="N20" i="15" a="1"/>
  <c r="N20" i="15"/>
  <c r="N26" i="15" a="1"/>
  <c r="N26" i="15"/>
  <c r="N25" i="15" a="1"/>
  <c r="N25" i="15"/>
  <c r="Q21" i="15" a="1"/>
  <c r="Q21" i="15"/>
  <c r="R26" i="15" a="1"/>
  <c r="R26" i="15"/>
  <c r="R23" i="15" a="1"/>
  <c r="R23" i="15"/>
  <c r="Q20" i="15" a="1"/>
  <c r="Q20" i="15"/>
  <c r="Q28" i="15" a="1"/>
  <c r="Q28" i="15"/>
  <c r="Q25" i="15" a="1"/>
  <c r="Q25" i="15"/>
  <c r="R27" i="15" a="1"/>
  <c r="R27" i="15"/>
  <c r="R24" i="15" a="1"/>
  <c r="R24" i="15"/>
  <c r="R25" i="15" a="1"/>
  <c r="R25" i="15"/>
  <c r="R21" i="15" a="1"/>
  <c r="R21" i="15"/>
  <c r="R20" i="15" a="1"/>
  <c r="R20" i="15"/>
  <c r="Q24" i="15" a="1"/>
  <c r="Q24" i="15"/>
  <c r="R28" i="15" a="1"/>
  <c r="R28" i="15"/>
  <c r="Q27" i="15" a="1"/>
  <c r="Q27" i="15"/>
  <c r="Q23" i="15" a="1"/>
  <c r="Q23" i="15"/>
  <c r="Q22" i="15" a="1"/>
  <c r="Q22" i="15"/>
  <c r="O20" i="15" a="1"/>
  <c r="O20" i="15"/>
  <c r="O22" i="15" a="1"/>
  <c r="O22" i="15"/>
  <c r="O23" i="15" a="1"/>
  <c r="O23" i="15"/>
  <c r="O27" i="15" a="1"/>
  <c r="O27" i="15"/>
  <c r="O21" i="15" a="1"/>
  <c r="O21" i="15"/>
  <c r="O24" i="15" a="1"/>
  <c r="O24" i="15"/>
  <c r="O25" i="15" a="1"/>
  <c r="O25" i="15"/>
  <c r="B22" i="15" a="1"/>
  <c r="B22" i="15"/>
  <c r="B26" i="15" a="1"/>
  <c r="B26" i="15"/>
  <c r="B25" i="15" a="1"/>
  <c r="B25" i="15"/>
  <c r="B27" i="15" a="1"/>
  <c r="B27" i="15"/>
  <c r="B45" i="15" a="1"/>
  <c r="B45" i="15"/>
  <c r="B41" i="15" a="1"/>
  <c r="B41" i="15"/>
  <c r="B44" i="15" a="1"/>
  <c r="B44" i="15"/>
  <c r="B42" i="15" a="1"/>
  <c r="B42" i="15"/>
  <c r="B46" i="15" a="1"/>
  <c r="B46" i="15"/>
  <c r="U40" i="15" a="1"/>
  <c r="U40" i="15"/>
  <c r="U45" i="15" a="1"/>
  <c r="U45" i="15"/>
  <c r="U39" i="15" a="1"/>
  <c r="U39" i="15"/>
  <c r="U38" i="15" a="1"/>
  <c r="U38" i="15"/>
  <c r="U46" i="15" a="1"/>
  <c r="U46" i="15"/>
  <c r="U41" i="15" a="1"/>
  <c r="U41" i="15"/>
  <c r="U43" i="15" a="1"/>
  <c r="U43" i="15"/>
  <c r="U42" i="15" a="1"/>
  <c r="U42" i="15"/>
  <c r="H14" i="15" a="1"/>
  <c r="H14" i="15"/>
  <c r="H13" i="15" a="1"/>
  <c r="H13" i="15"/>
  <c r="H17" i="15" a="1"/>
  <c r="H17" i="15"/>
  <c r="H12" i="15" a="1"/>
  <c r="H12" i="15"/>
  <c r="H18" i="15" a="1"/>
  <c r="H18" i="15"/>
  <c r="U31" i="15" a="1"/>
  <c r="U31" i="15"/>
  <c r="U29" i="15" a="1"/>
  <c r="U29" i="15"/>
  <c r="U36" i="15" a="1"/>
  <c r="U36" i="15"/>
  <c r="U30" i="15" a="1"/>
  <c r="U30" i="15"/>
  <c r="U35" i="15" a="1"/>
  <c r="U35" i="15"/>
  <c r="U33" i="15" a="1"/>
  <c r="U33" i="15"/>
  <c r="U34" i="15" a="1"/>
  <c r="U34" i="15"/>
  <c r="U37" i="15" a="1"/>
  <c r="U37" i="15"/>
  <c r="U32" i="15" a="1"/>
  <c r="U32" i="15"/>
  <c r="B38" i="15" a="1"/>
  <c r="B38" i="15"/>
  <c r="B23" i="15" a="1"/>
  <c r="B23" i="15"/>
  <c r="H16" i="15" a="1"/>
  <c r="H16" i="15"/>
  <c r="Q26" i="15" a="1"/>
  <c r="Q26" i="15"/>
  <c r="F29" i="15" a="1"/>
  <c r="F29" i="15"/>
  <c r="F31" i="15" a="1"/>
  <c r="F31" i="15"/>
  <c r="F33" i="15" a="1"/>
  <c r="F33" i="15"/>
  <c r="F35" i="15" a="1"/>
  <c r="F35" i="15"/>
  <c r="F37" i="15" a="1"/>
  <c r="F37" i="15"/>
  <c r="H35" i="15" a="1"/>
  <c r="H35" i="15"/>
  <c r="H31" i="15" a="1"/>
  <c r="H31" i="15"/>
  <c r="H29" i="15" a="1"/>
  <c r="H29" i="15"/>
  <c r="H30" i="15" a="1"/>
  <c r="H30" i="15"/>
  <c r="H34" i="15" a="1"/>
  <c r="H34" i="15"/>
  <c r="N42" i="15" a="1"/>
  <c r="N42" i="15"/>
  <c r="N38" i="15" a="1"/>
  <c r="N38" i="15"/>
  <c r="N39" i="15" a="1"/>
  <c r="N39" i="15"/>
  <c r="N46" i="15" a="1"/>
  <c r="N46" i="15"/>
  <c r="C40" i="15" a="1"/>
  <c r="C40" i="15"/>
  <c r="C46" i="15" a="1"/>
  <c r="C46" i="15"/>
  <c r="C42" i="15" a="1"/>
  <c r="C42" i="15"/>
  <c r="C41" i="15" a="1"/>
  <c r="C41" i="15"/>
  <c r="C28" i="15" a="1"/>
  <c r="C28" i="15"/>
  <c r="C26" i="15" a="1"/>
  <c r="C26" i="15"/>
  <c r="C27" i="15" a="1"/>
  <c r="C27" i="15"/>
  <c r="B18" i="15" a="1"/>
  <c r="B18" i="15"/>
  <c r="B19" i="15" a="1"/>
  <c r="B19" i="15"/>
  <c r="B11" i="15" a="1"/>
  <c r="B11" i="15"/>
  <c r="B12" i="15" a="1"/>
  <c r="B12" i="15"/>
  <c r="E8" i="15"/>
  <c r="H36" i="15" a="1"/>
  <c r="H36" i="15"/>
  <c r="H33" i="15" a="1"/>
  <c r="H33" i="15"/>
  <c r="N41" i="15" a="1"/>
  <c r="N41" i="15"/>
  <c r="N43" i="15" a="1"/>
  <c r="N43" i="15"/>
  <c r="L9" i="15" a="1"/>
  <c r="L9" i="15"/>
  <c r="L6" i="15" a="1"/>
  <c r="L6" i="15"/>
  <c r="L10" i="15" a="1"/>
  <c r="L10" i="15"/>
  <c r="L8" i="15" a="1"/>
  <c r="L8" i="15"/>
  <c r="L22" i="15" a="1"/>
  <c r="L22" i="15"/>
  <c r="L23" i="15" a="1"/>
  <c r="L23" i="15"/>
  <c r="K39" i="15" a="1"/>
  <c r="K39" i="15"/>
  <c r="K45" i="15" a="1"/>
  <c r="K45" i="15"/>
  <c r="Q7" i="15" a="1"/>
  <c r="Q7" i="15"/>
  <c r="Q10" i="15" a="1"/>
  <c r="Q10" i="15"/>
  <c r="Q8" i="15" a="1"/>
  <c r="Q8" i="15"/>
  <c r="Q6" i="15" a="1"/>
  <c r="Q6" i="15"/>
  <c r="R11" i="15" a="1"/>
  <c r="R11" i="15"/>
  <c r="R13" i="15" a="1"/>
  <c r="R13" i="15"/>
  <c r="R17" i="15" a="1"/>
  <c r="R17" i="15"/>
  <c r="R15" i="15" a="1"/>
  <c r="R15" i="15"/>
  <c r="R14" i="15" a="1"/>
  <c r="R14" i="15"/>
  <c r="R16" i="15" a="1"/>
  <c r="R16" i="15"/>
  <c r="R18" i="15" a="1"/>
  <c r="R18" i="15"/>
  <c r="K31" i="15" a="1"/>
  <c r="K31" i="15"/>
  <c r="K33" i="15" a="1"/>
  <c r="K33" i="15"/>
  <c r="K36" i="15" a="1"/>
  <c r="K36" i="15"/>
  <c r="O32" i="15" a="1"/>
  <c r="O32" i="15"/>
  <c r="O31" i="15" a="1"/>
  <c r="O31" i="15"/>
  <c r="O33" i="15" a="1"/>
  <c r="O33" i="15"/>
  <c r="R39" i="15" a="1"/>
  <c r="R39" i="15"/>
  <c r="R45" i="15" a="1"/>
  <c r="R45" i="15"/>
  <c r="R43" i="15" a="1"/>
  <c r="R43" i="15"/>
  <c r="R42" i="15" a="1"/>
  <c r="R42" i="15"/>
  <c r="R49" i="15" a="1"/>
  <c r="R49" i="15"/>
  <c r="R50" i="15" a="1"/>
  <c r="R50" i="15"/>
  <c r="R51" i="15" a="1"/>
  <c r="R51" i="15"/>
  <c r="T21" i="15" a="1"/>
  <c r="T21" i="15"/>
  <c r="T28" i="15" a="1"/>
  <c r="T28" i="15"/>
  <c r="U9" i="15" a="1"/>
  <c r="U9" i="15"/>
  <c r="U7" i="15" a="1"/>
  <c r="U7" i="15"/>
  <c r="U8" i="15" a="1"/>
  <c r="U8" i="15"/>
  <c r="I12" i="15" a="1"/>
  <c r="I12" i="15"/>
  <c r="I15" i="15" a="1"/>
  <c r="I15" i="15"/>
  <c r="I19" i="15" a="1"/>
  <c r="I19" i="15"/>
  <c r="I17" i="15" a="1"/>
  <c r="I17" i="15"/>
  <c r="I18" i="15" a="1"/>
  <c r="I18" i="15"/>
  <c r="I13" i="15" a="1"/>
  <c r="I13" i="15"/>
  <c r="R6" i="15" a="1"/>
  <c r="R6" i="15"/>
  <c r="R8" i="15" a="1"/>
  <c r="R8" i="15"/>
  <c r="R10" i="15" a="1"/>
  <c r="R10" i="15"/>
  <c r="R9" i="15" a="1"/>
  <c r="R9" i="15"/>
  <c r="O7" i="15" a="1"/>
  <c r="O7" i="15"/>
  <c r="O10" i="15" a="1"/>
  <c r="O10" i="15"/>
  <c r="O6" i="15" a="1"/>
  <c r="O6" i="15"/>
  <c r="O9" i="15" a="1"/>
  <c r="O9" i="15"/>
  <c r="C6" i="15" a="1"/>
  <c r="C6" i="15"/>
  <c r="C8" i="15" a="1"/>
  <c r="C8" i="15"/>
  <c r="C10" i="15" a="1"/>
  <c r="C10" i="15"/>
  <c r="F8" i="15"/>
  <c r="F7" i="15"/>
  <c r="I6" i="15" a="1"/>
  <c r="I6" i="15"/>
  <c r="I8" i="15" a="1"/>
  <c r="I8" i="15"/>
  <c r="I10" i="15" a="1"/>
  <c r="I10" i="15"/>
  <c r="I7" i="15" a="1"/>
  <c r="I7" i="15"/>
  <c r="L11" i="15" a="1"/>
  <c r="L11" i="15"/>
  <c r="L18" i="15" a="1"/>
  <c r="L18" i="15"/>
  <c r="U21" i="15" a="1"/>
  <c r="U21" i="15"/>
  <c r="U20" i="15" a="1"/>
  <c r="U20" i="15"/>
  <c r="L17" i="15" a="1"/>
  <c r="L17" i="15"/>
  <c r="U18" i="15" a="1"/>
  <c r="U18" i="15"/>
  <c r="U12" i="15" a="1"/>
  <c r="U12" i="15"/>
  <c r="L13" i="15" a="1"/>
  <c r="L13" i="15"/>
  <c r="G11" i="7"/>
  <c r="F11" i="7"/>
  <c r="G9" i="7"/>
  <c r="F15" i="7"/>
  <c r="G13" i="7"/>
  <c r="G5" i="7"/>
  <c r="F5" i="7"/>
  <c r="F9" i="7"/>
  <c r="G15" i="7"/>
  <c r="F13" i="7"/>
  <c r="G7" i="7"/>
  <c r="F7" i="7"/>
</calcChain>
</file>

<file path=xl/sharedStrings.xml><?xml version="1.0" encoding="utf-8"?>
<sst xmlns="http://schemas.openxmlformats.org/spreadsheetml/2006/main" count="748" uniqueCount="502">
  <si>
    <t>STAGE</t>
  </si>
  <si>
    <t>ACHIEVEMENTS / ACTIVITIES</t>
  </si>
  <si>
    <t>STATUS</t>
  </si>
  <si>
    <t>REMARKS</t>
  </si>
  <si>
    <t>Instructions: Enter "0" under Status if No or None, or "1" if Yes</t>
  </si>
  <si>
    <t>There is a legal framework</t>
  </si>
  <si>
    <t xml:space="preserve">If there is a legal framework, the framework has been reviewed in terms of how current it is.  </t>
  </si>
  <si>
    <t>Legislation includes SOPs on outbreak declaration and response</t>
  </si>
  <si>
    <t>Legislation includes dog keeping and compulsory rabies vaccination</t>
  </si>
  <si>
    <t>Year the framework was reviewed</t>
  </si>
  <si>
    <t>Legal frameworks are in the process of being updated to include specifications on international movements of animals, preferably also compulsory vaccination of dogs</t>
  </si>
  <si>
    <t>National case definition for animal rabies</t>
  </si>
  <si>
    <t>A case definition for animal rabies is available</t>
  </si>
  <si>
    <t>National case definition for human rabies</t>
  </si>
  <si>
    <t>A case definition for human rabies is available</t>
  </si>
  <si>
    <t>Legal framework</t>
  </si>
  <si>
    <t>Rabies is defined as a notifiable disease in humans and animals in the framework</t>
  </si>
  <si>
    <t>Coordinated rabies surveillance systems covering the entire country have been established, including agreed SOPs</t>
  </si>
  <si>
    <t>Collection of health economic data on rabies control at national level has been ongoing</t>
  </si>
  <si>
    <t>Effective surveillance system for rabies maintained</t>
  </si>
  <si>
    <t>Rabies exposure (dog bite) reporting and documentation have been reviewed and data compiled</t>
  </si>
  <si>
    <t>Collection of health economic data on rabies control, availability of some local or national health economic data to make the case for rabies control investment</t>
  </si>
  <si>
    <t>Vigorous surveillance is being conducted</t>
  </si>
  <si>
    <t>Surveillance</t>
  </si>
  <si>
    <t>Reporting of dog rabies from local to national level and data analysis capacity at the national level has been established</t>
  </si>
  <si>
    <t>Reporting of human rabies from local to national level and data analysis capacity at the national level has been established</t>
  </si>
  <si>
    <t>Health economic studies</t>
  </si>
  <si>
    <t>Several rabies suspect sample of either animals or humans is submitted to an international rabies reference laboratory for confirmation</t>
  </si>
  <si>
    <t>Rabies diagnostic capacity has been established in at least one national laboratory</t>
  </si>
  <si>
    <t>Mechanisms and capacity for sample collection and transport have been established</t>
  </si>
  <si>
    <t>Capacity for confirmatory rabies diagnosis in at least one laboratory of the country has been established</t>
  </si>
  <si>
    <t>Possibility for isolation of rabies virus variants has been identified (molecular epidemiology) inside or outside the country</t>
  </si>
  <si>
    <t>An adequate number of samples from suspected cases in dogs in the country are tested on a regular basis</t>
  </si>
  <si>
    <t>An adequate number of samples from suspected cases in susceptible domestic and wild animal species in the country are tested</t>
  </si>
  <si>
    <t>Legislation</t>
  </si>
  <si>
    <t>Data collection and analysis</t>
  </si>
  <si>
    <t xml:space="preserve">Contacts to an international rabies reference laboratory or international collaborating/reference center are established </t>
  </si>
  <si>
    <t>Specimen referral to international laboratories</t>
  </si>
  <si>
    <t>Laboratory capacity</t>
  </si>
  <si>
    <t>Laboratory diagnosis is available at central and provincial or district levels for animal samples</t>
  </si>
  <si>
    <t>Laboratory diagnosis is available at central and provincial or district levels for human samples</t>
  </si>
  <si>
    <t>Laboratory testing</t>
  </si>
  <si>
    <t>Laboratory diagnosis</t>
  </si>
  <si>
    <t>Responsible dog ownership promotion has been included into regular rabies awareness campaigns</t>
  </si>
  <si>
    <t>Results of rabies samples are shared appropriately with local and national authorities</t>
  </si>
  <si>
    <t>Plans for training of trainers, refresher courses on rabies for professionals in human and animal health have been developed</t>
  </si>
  <si>
    <t>Studies on Knowledge, Attitude and Practice (KAP survey) on rabies have been conducted in pilot areas</t>
  </si>
  <si>
    <t>Training of medical and veterinary personnel has been continued</t>
  </si>
  <si>
    <t>Rabies communication plan updated (e.g. Campaigns to promote responsible dog ownership have been expanded to more areas)</t>
  </si>
  <si>
    <t>Public awareness campaigns are directed and adapted to specific target groups</t>
  </si>
  <si>
    <t>Communication plan on approaching rabies elimination is being elaborated and publicized</t>
  </si>
  <si>
    <t>Continue awareness programmes, have been revisited to focus on maintenance of freedom and elimination efforts</t>
  </si>
  <si>
    <t>Campaigns on dog population management and responsible dog ownership maintained</t>
  </si>
  <si>
    <t>Vaccination of domestic dogs is promoted and conducted</t>
  </si>
  <si>
    <t>Intersectoral coordination</t>
  </si>
  <si>
    <t>Continue public awareness campaigns</t>
  </si>
  <si>
    <t>Rabies communication plan</t>
  </si>
  <si>
    <t>Public awareness campaigns have been initiated</t>
  </si>
  <si>
    <t>Education on rabies prevention and control for communities, including dog bite prevention and management of dog bites have been explored</t>
  </si>
  <si>
    <t>A rabies communication plan has been developed</t>
  </si>
  <si>
    <t>Sensitization of community leaders and authorities have been initiated</t>
  </si>
  <si>
    <t>Responsible dog ownership and vaccination of both owned and ownerless dogs have been promoted</t>
  </si>
  <si>
    <t>Rabies awareness campaigns</t>
  </si>
  <si>
    <t>Capacity building</t>
  </si>
  <si>
    <t>Organization of rabies control activities (at least in pilot areas) have been conducted</t>
  </si>
  <si>
    <t>Protocols for coordinated action on reported outbreaks have been elaborated</t>
  </si>
  <si>
    <t>Vaccines and biologics for human rabies prophylaxis are available in the country</t>
  </si>
  <si>
    <t>Distribution of functional rabies treatment centers in the country (e.g. recording number of patients per day, number of doses currently used)</t>
  </si>
  <si>
    <t>Dog rabies vaccines available and access has been scaled up</t>
  </si>
  <si>
    <t>Any use of human biologics not WHO-pre-qualified is being phased out (e.g. nerve tissue vaccines)</t>
  </si>
  <si>
    <t>Only quality dog vaccines in accordance with OIE standards are being used</t>
  </si>
  <si>
    <t>Dog vaccination campaigns are regularly implemented in response to human cases and animal outbreaks</t>
  </si>
  <si>
    <t>SOPs on IBCM have been agreed upon, including sharing of information between sectors</t>
  </si>
  <si>
    <t>SOPs for the observation of dogs involved in biting incidents available</t>
  </si>
  <si>
    <t>Professionals have been trained in outbreak response and investigation</t>
  </si>
  <si>
    <t>Areas free of dog rabies and absence of human rabies have been assessed and verified in accordance with the national rabies control and prevention strategy</t>
  </si>
  <si>
    <t>Dog vaccination campaigns are maintained in zones where dog rabies is still present or where justified otherwise</t>
  </si>
  <si>
    <t>Modified protocols on criteria for PEP administration in rabies free areas have been developed</t>
  </si>
  <si>
    <t>All professionals at risk of contracting rabies have been immunized</t>
  </si>
  <si>
    <t>A long-term plan, including emergency response to outbreaks following re-introduction has been developed</t>
  </si>
  <si>
    <t>Based on a risk assessment, dog vaccination campaigns are maintained where justified</t>
  </si>
  <si>
    <t>Capacity for outbreak and re-introduction response maintained</t>
  </si>
  <si>
    <t>Modified protocols on criteria for PEP administration for rabies free areas implemented</t>
  </si>
  <si>
    <t>Measures applied in designated dog-rabies free zones</t>
  </si>
  <si>
    <t>Human biologics have been made available and accessible to most parts of the country</t>
  </si>
  <si>
    <t>Dog vaccines</t>
  </si>
  <si>
    <t>Human vaccines</t>
  </si>
  <si>
    <t>Facilities for veterinary observation of rabies-suspect biting dog comply with international animal welfare regulations</t>
  </si>
  <si>
    <t>Facilities for veterinary observation of rabies-suspect biting dog have been established in sufficient number</t>
  </si>
  <si>
    <t>Outbreak response and other rabies control activities</t>
  </si>
  <si>
    <t>Dog population studies to determine size, turn-over and accessibility have been conducted in pilot areas</t>
  </si>
  <si>
    <t>More detailed dog ecology and KAP surveys, with refinement of strategy as indicated</t>
  </si>
  <si>
    <t>Identification of main national stakeholders in rabies prevention and control has been carried out</t>
  </si>
  <si>
    <t>Stakeholder consultations held</t>
  </si>
  <si>
    <t>Intersectoral rabies task force, committee or working group established</t>
  </si>
  <si>
    <t>Based from pilot area experience, a short term rabies action plan has been elaborated and endorsed by relevant stakeholders at national and local levels</t>
  </si>
  <si>
    <t>Mechanisms for mobilizing emergency funds in case of an outbreak have been identified</t>
  </si>
  <si>
    <t>Mechanisms for regular intersectoral collaboration are in place and implemented</t>
  </si>
  <si>
    <t>A national intersectoral programme and strategy for rabies prevention, control and elimination has been drafted and shared with all relevant parties</t>
  </si>
  <si>
    <t>Government resources identified and allocated for rabies control</t>
  </si>
  <si>
    <t>Role of private sector has been explained more in detail.</t>
  </si>
  <si>
    <t>The epidemiological situation has been reviewed and national programme and strategy have been adapted as needed</t>
  </si>
  <si>
    <t>Dialogue with neighbouring or other countries has started, establishment of a cross-border plan</t>
  </si>
  <si>
    <t>Veterinary border inspection and quarantine measures are fully implemented in accordance with national regulations</t>
  </si>
  <si>
    <t>Epidemiology situation (including wildlife, if applicable) has been reviewed and the national strategy adapted as needed</t>
  </si>
  <si>
    <t>Intersectoral collaboration</t>
  </si>
  <si>
    <t>National programme and strategy</t>
  </si>
  <si>
    <t>Border control</t>
  </si>
  <si>
    <t>Cross-cutting issues</t>
  </si>
  <si>
    <t>Agencies the case definition was disseminated to</t>
  </si>
  <si>
    <t>Title of the framework and the year it was passed</t>
  </si>
  <si>
    <t>LEGISLATION</t>
  </si>
  <si>
    <t>DATA COLLECTION AND ANALYSIS</t>
  </si>
  <si>
    <t>LABORATORY DIAGNOSIS</t>
  </si>
  <si>
    <t>INFORMATION, EDUCATION AND COMMUNICATION</t>
  </si>
  <si>
    <t>PREVENTION AND CONTROL</t>
  </si>
  <si>
    <t>DOG POPULATION RELATED ISSUES</t>
  </si>
  <si>
    <t>CROSS-CUTTING ISSUES</t>
  </si>
  <si>
    <t>Thorough (70% of the total dog population) mass dog vaccination campaigns are conducted as scheduled throughout the country</t>
  </si>
  <si>
    <t>A reporting and feedback mechanism between all stakeholders (both local and national, human and animal health offices) has been established</t>
  </si>
  <si>
    <t>A reporting and feedback mechanism between all stakeholders (including local and national, human and animal health offices) has been established</t>
  </si>
  <si>
    <t>Names of international rabies reference laboratories or collaborating/reference centers</t>
  </si>
  <si>
    <t>Name of institute where molecular tests are being performed</t>
  </si>
  <si>
    <t>Timeliness of reporting and feedback, and stakeholders involved</t>
  </si>
  <si>
    <t>Main messages and intended audience</t>
  </si>
  <si>
    <t>Geographic extent of mass dog vaccination and campaigns, and vaccination coverage</t>
  </si>
  <si>
    <t>Main messages and geographic extent</t>
  </si>
  <si>
    <t>Main messages, intended audience and geographic extent</t>
  </si>
  <si>
    <t>Frequency and participants</t>
  </si>
  <si>
    <t>Methods used to measure vaccination coverage</t>
  </si>
  <si>
    <t>Methods used to estimate dog population</t>
  </si>
  <si>
    <t>Evaluation of dog  rabies interventions (eg post-vaccination surveys)</t>
  </si>
  <si>
    <t>Evaluation of human rabies interventions (eg PEP monitoring human patients)</t>
  </si>
  <si>
    <t>Frequency and methods used</t>
  </si>
  <si>
    <t>Accomplished</t>
  </si>
  <si>
    <t>DATA COLLECTION &amp; ANALYSIS</t>
  </si>
  <si>
    <t>PREVENTION &amp; CONTROL</t>
  </si>
  <si>
    <t>INFORMATION, EDUCATION, COMMUNICATION</t>
  </si>
  <si>
    <t>The animal rabies case definition has been disseminated to relevant professionals</t>
  </si>
  <si>
    <t>The human rabies case definition has been disseminated to relevant professionals</t>
  </si>
  <si>
    <t>The animal rabies case definition has been reviewed and was endorsed (intersectoral approach)</t>
  </si>
  <si>
    <t>The human rabies case definition has been reviewed and was endorsed (intersectoral approach)</t>
  </si>
  <si>
    <t>subcomponent</t>
  </si>
  <si>
    <t>SUMMARY OF RABIES PROGRAM ACTIVITIES</t>
  </si>
  <si>
    <t>Stepwise Approach towards Rabies Elimination</t>
  </si>
  <si>
    <t>COUNTRY:</t>
  </si>
  <si>
    <t>PREPARED BY:</t>
  </si>
  <si>
    <t>DESIGNATION:</t>
  </si>
  <si>
    <t>OFFICE:</t>
  </si>
  <si>
    <t>Afghanistan</t>
  </si>
  <si>
    <t>Africa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</si>
  <si>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</si>
  <si>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</si>
  <si>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</si>
  <si>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</si>
  <si>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</si>
  <si>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</si>
  <si>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</si>
  <si>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</si>
  <si>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&amp; Barbuda</t>
  </si>
  <si>
    <t>Argentina</t>
  </si>
  <si>
    <t>Armenia</t>
  </si>
  <si>
    <t>Aruba</t>
  </si>
  <si>
    <t>Asia</t>
  </si>
  <si>
    <t>Australia</t>
  </si>
  <si>
    <t>Austria</t>
  </si>
  <si>
    <t>Azerbaijan</t>
  </si>
  <si>
    <t>Bahamas, The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</si>
  <si>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</si>
  <si>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</si>
  <si>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</si>
  <si>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</si>
  <si>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</si>
  <si>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</si>
  <si>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</si>
  <si>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</si>
  <si>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</si>
  <si>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</si>
  <si>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St.Eustat, Saba</t>
  </si>
  <si>
    <t>Bosnia and Herzegovina</t>
  </si>
  <si>
    <t>Botswana</t>
  </si>
  <si>
    <t>Bouvet Island</t>
  </si>
  <si>
    <t>Brazil</t>
  </si>
  <si>
    <t>British Indian Ocean T.</t>
  </si>
  <si>
    <t>British Virgin Islands</t>
  </si>
  <si>
    <t>Brunei Darussalam</t>
  </si>
  <si>
    <t>Bulgaria</t>
  </si>
  <si>
    <t>Burkina Faso</t>
  </si>
  <si>
    <t>Burundi</t>
  </si>
  <si>
    <t>Cabo Verde</t>
  </si>
  <si>
    <t>Cambodia</t>
  </si>
  <si>
    <t>Cameroon</t>
  </si>
  <si>
    <t>Canada</t>
  </si>
  <si>
    <t>Caribbean, the</t>
  </si>
  <si>
    <t>Cayman Islands</t>
  </si>
  <si>
    <t>Central African Republic</t>
  </si>
  <si>
    <t>Central America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</si>
  <si>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</si>
  <si>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</si>
  <si>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</si>
  <si>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</si>
  <si>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</si>
  <si>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</si>
  <si>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</si>
  <si>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</si>
  <si>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Congo, Dem. Rep. of the</t>
  </si>
  <si>
    <t>Cook Islands</t>
  </si>
  <si>
    <t>Costa Rica</t>
  </si>
  <si>
    <t>Cote D'Ivoire</t>
  </si>
  <si>
    <t>Croatia</t>
  </si>
  <si>
    <t>Cuba</t>
  </si>
  <si>
    <t>Curaçao</t>
  </si>
  <si>
    <t>Cyprus</t>
  </si>
  <si>
    <t>Czech Republic</t>
  </si>
  <si>
    <t>Denmark</t>
  </si>
  <si>
    <t>Djibouti</t>
  </si>
  <si>
    <t>Dominica</t>
  </si>
  <si>
    <t>Dominican Republic</t>
  </si>
  <si>
    <t>East Timor (Timor-Leste)</t>
  </si>
  <si>
    <t>Ecuador</t>
  </si>
  <si>
    <t>Egypt</t>
  </si>
  <si>
    <t>El Salvador</t>
  </si>
  <si>
    <t>Equatorial Guinea</t>
  </si>
  <si>
    <t>Eritrea</t>
  </si>
  <si>
    <t>Estonia</t>
  </si>
  <si>
    <t>Ethiopia</t>
  </si>
  <si>
    <t>Europe</t>
  </si>
  <si>
    <t>European Union</t>
  </si>
  <si>
    <t>Falkland Is. (Malvinas)</t>
  </si>
  <si>
    <t>Faroe Islands</t>
  </si>
  <si>
    <t>Fiji</t>
  </si>
  <si>
    <t>Finland</t>
  </si>
  <si>
    <t>France</t>
  </si>
  <si>
    <t>French Guiana</t>
  </si>
  <si>
    <t>French Polynesia</t>
  </si>
  <si>
    <t>French Southern Terr.</t>
  </si>
  <si>
    <t>Gabon</t>
  </si>
  <si>
    <t>Gambia, the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</si>
  <si>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</si>
  <si>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</si>
  <si>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</si>
  <si>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</si>
  <si>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</si>
  <si>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</si>
  <si>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</si>
  <si>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</si>
  <si>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</si>
  <si>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</si>
  <si>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 and Alderney</t>
  </si>
  <si>
    <t>Guiana, French</t>
  </si>
  <si>
    <t>Guinea</t>
  </si>
  <si>
    <t>Guinea-Bissau</t>
  </si>
  <si>
    <t>Guinea, Equatorial</t>
  </si>
  <si>
    <t>Guyana</t>
  </si>
  <si>
    <t>Haiti</t>
  </si>
  <si>
    <t>Heard &amp; McDonald Is.</t>
  </si>
  <si>
    <t>Holy See (Vatican)</t>
  </si>
  <si>
    <t>Honduras</t>
  </si>
  <si>
    <t>Hong Kong, (China)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</si>
  <si>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</si>
  <si>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</si>
  <si>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</si>
  <si>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</si>
  <si>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</si>
  <si>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</si>
  <si>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</si>
  <si>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</si>
  <si>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</si>
  <si>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Ivory Coast (Cote d'Ivoire)</t>
  </si>
  <si>
    <t>Jamaica</t>
  </si>
  <si>
    <t>Japan</t>
  </si>
  <si>
    <t>Jersey</t>
  </si>
  <si>
    <t>Jordan</t>
  </si>
  <si>
    <t>Kazakhstan</t>
  </si>
  <si>
    <t>Kenya</t>
  </si>
  <si>
    <t>Kiribati</t>
  </si>
  <si>
    <t>Korea Dem. People's Rep.</t>
  </si>
  <si>
    <t>Korea, (South) Republic of</t>
  </si>
  <si>
    <t>Kosovo</t>
  </si>
  <si>
    <t>Kuwait</t>
  </si>
  <si>
    <t>Kyrgyzstan</t>
  </si>
  <si>
    <t>Lao People's Dem. Rep.</t>
  </si>
  <si>
    <t>Latvia</t>
  </si>
  <si>
    <t>Lebanon</t>
  </si>
  <si>
    <t>Lesotho</t>
  </si>
  <si>
    <t>Liberia</t>
  </si>
  <si>
    <t>Libyan Arab Jamahiriya</t>
  </si>
  <si>
    <t>Liechtenstein</t>
  </si>
  <si>
    <t>Lithuania</t>
  </si>
  <si>
    <t>Luxembourg</t>
  </si>
  <si>
    <t>Macao, (China)</t>
  </si>
  <si>
    <t>Macedonia, TFYR</t>
  </si>
  <si>
    <t>Madagascar</t>
  </si>
  <si>
    <t>Malawi</t>
  </si>
  <si>
    <t>Malaysia</t>
  </si>
  <si>
    <t>Maldives</t>
  </si>
  <si>
    <t>Mali</t>
  </si>
  <si>
    <t>Malta</t>
  </si>
  <si>
    <t>Man, Isle of</t>
  </si>
  <si>
    <t>Marshall Islands</t>
  </si>
  <si>
    <t>Martinique (FR)</t>
  </si>
  <si>
    <t>Mauritania</t>
  </si>
  <si>
    <t>Mauritius</t>
  </si>
  <si>
    <t>Mayotte (FR)</t>
  </si>
  <si>
    <t>Mexico</t>
  </si>
  <si>
    <t>Micronesia, Fed. States of</t>
  </si>
  <si>
    <t>Middle East</t>
  </si>
  <si>
    <t>Moldova, Republic of</t>
  </si>
  <si>
    <t>Monaco</t>
  </si>
  <si>
    <t>Mongolia</t>
  </si>
  <si>
    <t>Montenegro</t>
  </si>
  <si>
    <t>Montserrat</t>
  </si>
  <si>
    <t>Morocco</t>
  </si>
  <si>
    <t>Mozambique</t>
  </si>
  <si>
    <t>Myanmar (ex-Burma)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</si>
  <si>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</si>
  <si>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</si>
  <si>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</si>
  <si>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</si>
  <si>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</si>
  <si>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</si>
  <si>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</si>
  <si>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</si>
  <si>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</si>
  <si>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</si>
  <si>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</si>
  <si>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</si>
  <si>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America</t>
  </si>
  <si>
    <t>Northern Mariana Islands</t>
  </si>
  <si>
    <t>Norway</t>
  </si>
  <si>
    <t>Oceania</t>
  </si>
  <si>
    <t>Oman</t>
  </si>
  <si>
    <t>Pakistan</t>
  </si>
  <si>
    <t>Palau</t>
  </si>
  <si>
    <t>Palestinian Territory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</si>
  <si>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</si>
  <si>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</si>
  <si>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</si>
  <si>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</si>
  <si>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</si>
  <si>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</si>
  <si>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</si>
  <si>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</si>
  <si>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</si>
  <si>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</si>
  <si>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 (FR)</t>
  </si>
  <si>
    <t>Romania</t>
  </si>
  <si>
    <t>Russia (Russian Fed.)</t>
  </si>
  <si>
    <t>Rwanda</t>
  </si>
  <si>
    <t>Sahara, Western</t>
  </si>
  <si>
    <t>Saint Barthelemy (FR)</t>
  </si>
  <si>
    <t>Saint Helena (UK)</t>
  </si>
  <si>
    <t>Saint Kitts and Nevis</t>
  </si>
  <si>
    <t>Saint Lucia</t>
  </si>
  <si>
    <t>Saint Martin (FR)</t>
  </si>
  <si>
    <t>S Pierre &amp; Miquelon(FR)</t>
  </si>
  <si>
    <t>S Vincent &amp;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</si>
  <si>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</si>
  <si>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</si>
  <si>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</si>
  <si>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</si>
  <si>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</si>
  <si>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</si>
  <si>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</si>
  <si>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</si>
  <si>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</si>
  <si>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</si>
  <si>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</si>
  <si>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</si>
  <si>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</si>
  <si>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</si>
  <si>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</t>
  </si>
  <si>
    <t>S.George &amp; S.Sandwich</t>
  </si>
  <si>
    <t>South Sudan</t>
  </si>
  <si>
    <t>Spain</t>
  </si>
  <si>
    <t>Sri Lanka (ex-Ceilan)</t>
  </si>
  <si>
    <t>Sudan</t>
  </si>
  <si>
    <t>Suriname</t>
  </si>
  <si>
    <t>Svalbard &amp; Jan Mayen Is.</t>
  </si>
  <si>
    <t>Swaziland</t>
  </si>
  <si>
    <t>Sweden</t>
  </si>
  <si>
    <t>Switzerland</t>
  </si>
  <si>
    <t>Syrian Arab Republic</t>
  </si>
  <si>
    <t>Taiwan</t>
  </si>
  <si>
    <t>Tajikistan</t>
  </si>
  <si>
    <t>Tanzania, United Rep. of</t>
  </si>
  <si>
    <t>Thailand</t>
  </si>
  <si>
    <t>Timor-Leste (East Timor)</t>
  </si>
  <si>
    <t>Togo</t>
  </si>
  <si>
    <t>Tokelau</t>
  </si>
  <si>
    <t>Tonga</t>
  </si>
  <si>
    <t>Trinidad &amp; Tobago</t>
  </si>
  <si>
    <t>Tunisia</t>
  </si>
  <si>
    <t>Turkey</t>
  </si>
  <si>
    <t>Turkmenistan</t>
  </si>
  <si>
    <t>Turks and Caicos Is.</t>
  </si>
  <si>
    <t>Tuvalu</t>
  </si>
  <si>
    <t>Uganda</t>
  </si>
  <si>
    <t>Ukraine</t>
  </si>
  <si>
    <t>United Arab Emirates</t>
  </si>
  <si>
    <t>United Kingdom</t>
  </si>
  <si>
    <t>United States</t>
  </si>
  <si>
    <t>US Minor Outlying Isl.</t>
  </si>
  <si>
    <t>Uruguay</t>
  </si>
  <si>
    <t>Uzbekistan</t>
  </si>
  <si>
    <t>Vanuatu</t>
  </si>
  <si>
    <t>Vatican (Holy See)</t>
  </si>
  <si>
    <t>Venezuela</t>
  </si>
  <si>
    <t>Viet Nam</t>
  </si>
  <si>
    <t>Virgin Islands, British</t>
  </si>
  <si>
    <t>Virgin Islands, U.S.</t>
  </si>
  <si>
    <t>Wallis and Futuna</t>
  </si>
  <si>
    <t>Western Sahara</t>
  </si>
  <si>
    <t>Yemen</t>
  </si>
  <si>
    <t>Zambia</t>
  </si>
  <si>
    <t>Zimbabwe</t>
  </si>
  <si>
    <t>DATE PREPARED:</t>
  </si>
  <si>
    <r>
      <t>OTHER IMPORTANT INFORMATION
(</t>
    </r>
    <r>
      <rPr>
        <sz val="11"/>
        <color theme="1"/>
        <rFont val="Calibri"/>
        <family val="2"/>
        <scheme val="minor"/>
      </rPr>
      <t>please include in REMARKS</t>
    </r>
    <r>
      <rPr>
        <b/>
        <sz val="11"/>
        <color theme="1"/>
        <rFont val="Calibri"/>
        <family val="2"/>
        <scheme val="minor"/>
      </rPr>
      <t>)</t>
    </r>
  </si>
  <si>
    <t>Please describe the surveillance systems briefly</t>
  </si>
  <si>
    <t>COMPONENTS</t>
  </si>
  <si>
    <t>ACCOMPLISHED ACTIVITIES</t>
  </si>
  <si>
    <t>PENDING ACTIVITIES</t>
  </si>
  <si>
    <t>(You may select your country's name from the drop-down list)</t>
  </si>
  <si>
    <t>Pending</t>
  </si>
  <si>
    <t>Sectors involved</t>
  </si>
  <si>
    <t>Agencies of trained professionals</t>
  </si>
  <si>
    <t>Number and location of facilities</t>
  </si>
  <si>
    <t>Percentage of facilities which comply with international animal welfare regulations</t>
  </si>
  <si>
    <t>Timely supply of and access to quality human biologics are assured throughout the country (e.g. Pre- and Post- Exposure Prophylaxis available to high risk and exposed individuals throughout the country)</t>
  </si>
  <si>
    <t>COMPONENT</t>
  </si>
  <si>
    <t>ACTIVITY</t>
  </si>
  <si>
    <t>IEC</t>
  </si>
  <si>
    <t>Prevention &amp; Control</t>
  </si>
  <si>
    <t>Dog population issues</t>
  </si>
  <si>
    <t>IEC/Dog population issues</t>
  </si>
  <si>
    <t>Year of most recent specimen referral to an international rabies reference laboratory;
Name of international rabies reference laboratory</t>
  </si>
  <si>
    <t>Names and locations of institute(s)</t>
  </si>
  <si>
    <t>Possibility for characterization of rabies virus variants has been identified (molecular epidemiology) inside or outside the country</t>
  </si>
  <si>
    <t>*number of samples for discussion</t>
  </si>
  <si>
    <t>Continue large scale public awareness campaigns promoting dog vaccination</t>
  </si>
  <si>
    <t>Campaigns on dog population management and responsible dog ownership maintained after declaration of freedom from dog rabies</t>
  </si>
  <si>
    <t>Nerve tissue vaccine is being phased out</t>
  </si>
  <si>
    <r>
      <t xml:space="preserve">Number of functional rabies treatment centers </t>
    </r>
    <r>
      <rPr>
        <sz val="11"/>
        <color rgb="FFFF0000"/>
        <rFont val="Calibri"/>
        <family val="2"/>
        <scheme val="minor"/>
      </rPr>
      <t>(This could eventually be 2)</t>
    </r>
  </si>
  <si>
    <t>could also be 2?</t>
  </si>
  <si>
    <t>Date and who participated, was action plan elaborated?</t>
  </si>
  <si>
    <t>Name of Institutions of members of task force or afiliation</t>
  </si>
  <si>
    <t>preferably intersectoral bit could have been developed by sectors separately?</t>
  </si>
  <si>
    <t>ACCOMPLISHED/PENDING RABIES PROGRAM ACTIVITIES</t>
  </si>
  <si>
    <t>Stage 0</t>
  </si>
  <si>
    <t>Stage 1</t>
  </si>
  <si>
    <t>Stage 2</t>
  </si>
  <si>
    <t>Stage 3</t>
  </si>
  <si>
    <t>Stage 4</t>
  </si>
  <si>
    <t>Stage 5</t>
  </si>
  <si>
    <t>CRITICAL ACTIVITIES ACCOMPLISHED</t>
  </si>
  <si>
    <r>
      <rPr>
        <sz val="14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
   </t>
    </r>
    <r>
      <rPr>
        <i/>
        <sz val="9"/>
        <color theme="1"/>
        <rFont val="Calibri"/>
        <family val="2"/>
        <scheme val="minor"/>
      </rPr>
      <t>Total number of activities = 5
    Critical activities = 2</t>
    </r>
  </si>
  <si>
    <r>
      <rPr>
        <sz val="14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
    </t>
    </r>
    <r>
      <rPr>
        <i/>
        <sz val="9"/>
        <color theme="1"/>
        <rFont val="Calibri"/>
        <family val="2"/>
        <scheme val="minor"/>
      </rPr>
      <t>Total number of activities = 30
     Critical activities = 7</t>
    </r>
  </si>
  <si>
    <r>
      <rPr>
        <sz val="14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 xml:space="preserve">    Total number of activities = 24
    Critical activities = 7</t>
    </r>
  </si>
  <si>
    <r>
      <rPr>
        <sz val="14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 xml:space="preserve">    Total number of activities = 19
    Critical activities = 4</t>
    </r>
  </si>
  <si>
    <r>
      <rPr>
        <sz val="14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
 </t>
    </r>
    <r>
      <rPr>
        <i/>
        <sz val="9"/>
        <color theme="1"/>
        <rFont val="Calibri"/>
        <family val="2"/>
        <scheme val="minor"/>
      </rPr>
      <t xml:space="preserve">   Total number of activities = 9
    Critical activities = 4</t>
    </r>
  </si>
  <si>
    <r>
      <rPr>
        <sz val="14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 xml:space="preserve">    Total number of activities = 5
    Critical activities = 2</t>
    </r>
  </si>
  <si>
    <r>
      <t xml:space="preserve">Legislation
  </t>
    </r>
    <r>
      <rPr>
        <i/>
        <sz val="9"/>
        <color theme="1"/>
        <rFont val="Calibri"/>
        <family val="2"/>
        <scheme val="minor"/>
      </rPr>
      <t xml:space="preserve">  Total number of activities = 12</t>
    </r>
  </si>
  <si>
    <r>
      <t xml:space="preserve">Data collection and analysis
</t>
    </r>
    <r>
      <rPr>
        <i/>
        <sz val="9"/>
        <color theme="1"/>
        <rFont val="Calibri"/>
        <family val="2"/>
        <scheme val="minor"/>
      </rPr>
      <t xml:space="preserve">    Total number of activities = 9</t>
    </r>
  </si>
  <si>
    <r>
      <t xml:space="preserve">Laboratory diagnosis
    </t>
    </r>
    <r>
      <rPr>
        <i/>
        <sz val="9"/>
        <color theme="1"/>
        <rFont val="Calibri"/>
        <family val="2"/>
        <scheme val="minor"/>
      </rPr>
      <t>Total number of activities = 10</t>
    </r>
  </si>
  <si>
    <r>
      <t xml:space="preserve">Information, Education, Communication
   </t>
    </r>
    <r>
      <rPr>
        <i/>
        <sz val="9"/>
        <color theme="1"/>
        <rFont val="Calibri"/>
        <family val="2"/>
        <scheme val="minor"/>
      </rPr>
      <t xml:space="preserve"> Total number of activities = 18</t>
    </r>
  </si>
  <si>
    <r>
      <t xml:space="preserve">Prevention and Control
</t>
    </r>
    <r>
      <rPr>
        <i/>
        <sz val="9"/>
        <color theme="1"/>
        <rFont val="Calibri"/>
        <family val="2"/>
        <scheme val="minor"/>
      </rPr>
      <t xml:space="preserve">    Total number of activities = 25</t>
    </r>
  </si>
  <si>
    <r>
      <t xml:space="preserve">Dog population related issues
   </t>
    </r>
    <r>
      <rPr>
        <i/>
        <sz val="9"/>
        <color theme="1"/>
        <rFont val="Calibri"/>
        <family val="2"/>
        <scheme val="minor"/>
      </rPr>
      <t xml:space="preserve"> Total number of activities = 3</t>
    </r>
  </si>
  <si>
    <r>
      <t xml:space="preserve">Cross-cutting issues
       </t>
    </r>
    <r>
      <rPr>
        <i/>
        <sz val="9"/>
        <color theme="1"/>
        <rFont val="Calibri"/>
        <family val="2"/>
        <scheme val="minor"/>
      </rPr>
      <t xml:space="preserve"> Total number of activities = 10</t>
    </r>
  </si>
  <si>
    <t>The national animal rabies case definition has been disseminated to relevant professionals within the region</t>
  </si>
  <si>
    <r>
      <t xml:space="preserve">Agencies and lowest </t>
    </r>
    <r>
      <rPr>
        <b/>
        <sz val="11"/>
        <color theme="1"/>
        <rFont val="Calibri"/>
        <family val="2"/>
        <scheme val="minor"/>
      </rPr>
      <t>local</t>
    </r>
    <r>
      <rPr>
        <sz val="11"/>
        <color theme="1"/>
        <rFont val="Calibri"/>
        <family val="2"/>
        <scheme val="minor"/>
      </rPr>
      <t xml:space="preserve"> government unit the definition was endorsed to</t>
    </r>
  </si>
  <si>
    <t>Last tested in 2011</t>
  </si>
  <si>
    <t>Have the ability to quickly test samples at CDC</t>
  </si>
  <si>
    <t>Few accomplished</t>
  </si>
  <si>
    <t>All Accomplished</t>
  </si>
  <si>
    <t>SARE Critical Activities for Stage Progression</t>
  </si>
  <si>
    <t>No regional participants were aware of the case definition</t>
  </si>
  <si>
    <t>Only the Addis Participants could answer yes to the question</t>
  </si>
  <si>
    <t>vet. Public health team</t>
  </si>
  <si>
    <t>At the Ethiopian Public Health Insitute</t>
  </si>
  <si>
    <t>CDC Atlanta for research visit</t>
  </si>
  <si>
    <t>CDC Atlanta</t>
  </si>
  <si>
    <t>±250</t>
  </si>
  <si>
    <t>±70</t>
  </si>
  <si>
    <t>Governmental initiatives</t>
  </si>
  <si>
    <t>The national human rabies case definition has been disseminated to relevant professionals</t>
  </si>
  <si>
    <r>
      <t xml:space="preserve">At least </t>
    </r>
    <r>
      <rPr>
        <sz val="11"/>
        <color rgb="FFFF0000"/>
        <rFont val="Calibri"/>
        <family val="2"/>
        <scheme val="minor"/>
      </rPr>
      <t>200</t>
    </r>
    <r>
      <rPr>
        <sz val="11"/>
        <color theme="1"/>
        <rFont val="Calibri"/>
        <family val="2"/>
        <scheme val="minor"/>
      </rPr>
      <t xml:space="preserve"> samples from suspected cases in dogs in the country are tested annually</t>
    </r>
  </si>
  <si>
    <r>
      <t xml:space="preserve">At least </t>
    </r>
    <r>
      <rPr>
        <sz val="11"/>
        <color rgb="FFFF0000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 xml:space="preserve"> samples from suspected cases in other susceptible domestic and wild animal species in the country are tested annually</t>
    </r>
  </si>
  <si>
    <t>Vaccination of domestic dogs is promoted and conducted in some areas</t>
  </si>
  <si>
    <t>Some initiatives planned</t>
  </si>
  <si>
    <t>Vaccine not available in all regions. Locally made cell culture vaccine being developed, but not implemented yet.</t>
  </si>
  <si>
    <t>Currently, but this will change when the local stock is made</t>
  </si>
  <si>
    <t>Ethiopian Animal Wellfare Organization. Drafting sop for ensuring welfare</t>
  </si>
  <si>
    <t>Epidemiology situation (including livestock and wildlife, if applicable) has been reviewed and the national strategy adapted as needed</t>
  </si>
  <si>
    <t>Funds are available, but confirmation was needed first</t>
  </si>
  <si>
    <t>abraham haile</t>
  </si>
  <si>
    <t xml:space="preserve">minstry of health, ethiopian public health insitiute </t>
  </si>
  <si>
    <t>zoontic diseases research team</t>
  </si>
  <si>
    <t>meseret bekele</t>
  </si>
  <si>
    <t>ministry of livestock and fishery</t>
  </si>
  <si>
    <t>All regional levels were familiar with the case definition</t>
  </si>
  <si>
    <t>Animal Disease Control Act</t>
  </si>
  <si>
    <t>Currently being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</si>
</sst>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3409]dd\ mmmm\,\ yy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11"/>
      <color theme="1"/>
      <name val="Calibri"/>
      <family val="2"/>
    </font>
    <font>
      <b/>
      <u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scheme val="minor"/>
    </font>
    <font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DDCD"/>
        <bgColor indexed="64"/>
      </patternFill>
    </fill>
    <fill>
      <patternFill patternType="solid">
        <fgColor rgb="FFE2EFDA"/>
        <bgColor rgb="FF000000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4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Fill="1" applyAlignment="1">
      <alignment horizontal="left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Alignment="1">
      <alignment wrapText="1"/>
    </xf>
    <xf numFmtId="0" fontId="5" fillId="0" borderId="0" xfId="0" applyFont="1"/>
    <xf numFmtId="0" fontId="0" fillId="0" borderId="0" xfId="0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3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top"/>
    </xf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0" fillId="0" borderId="5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0" fillId="0" borderId="2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4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9" xfId="0" applyFont="1" applyBorder="1" applyAlignment="1">
      <alignment horizontal="left" vertical="top" wrapText="1"/>
    </xf>
    <xf numFmtId="0" fontId="5" fillId="0" borderId="14" xfId="0" applyFont="1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4" xfId="0" applyFill="1" applyBorder="1" applyAlignment="1">
      <alignment horizontal="left" vertical="top" wrapText="1"/>
    </xf>
    <xf numFmtId="43" fontId="0" fillId="0" borderId="14" xfId="1" applyFont="1" applyBorder="1" applyAlignment="1">
      <alignment horizontal="left" vertical="top"/>
    </xf>
    <xf numFmtId="0" fontId="5" fillId="0" borderId="15" xfId="0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left" vertical="top" wrapText="1"/>
    </xf>
    <xf numFmtId="0" fontId="11" fillId="0" borderId="4" xfId="0" applyFont="1" applyBorder="1" applyAlignment="1">
      <alignment vertical="top" wrapText="1"/>
    </xf>
    <xf numFmtId="0" fontId="11" fillId="0" borderId="3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0" xfId="0" applyFont="1" applyBorder="1" applyAlignment="1">
      <alignment vertical="top" wrapText="1"/>
    </xf>
    <xf numFmtId="0" fontId="11" fillId="0" borderId="9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13" xfId="0" applyFont="1" applyBorder="1" applyAlignment="1">
      <alignment vertical="top" wrapText="1"/>
    </xf>
    <xf numFmtId="0" fontId="11" fillId="0" borderId="14" xfId="0" applyFont="1" applyBorder="1" applyAlignment="1">
      <alignment vertical="top" wrapText="1"/>
    </xf>
    <xf numFmtId="0" fontId="11" fillId="0" borderId="15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0" fontId="14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13" fillId="0" borderId="13" xfId="0" applyFont="1" applyBorder="1" applyAlignment="1">
      <alignment vertical="top" wrapText="1"/>
    </xf>
    <xf numFmtId="0" fontId="13" fillId="0" borderId="15" xfId="0" applyFont="1" applyBorder="1" applyAlignment="1">
      <alignment vertical="top" wrapText="1"/>
    </xf>
    <xf numFmtId="0" fontId="5" fillId="0" borderId="5" xfId="0" applyFont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6" xfId="0" applyFont="1" applyBorder="1" applyAlignment="1">
      <alignment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9" fillId="0" borderId="4" xfId="0" applyFont="1" applyBorder="1" applyAlignment="1">
      <alignment vertical="center" wrapText="1"/>
    </xf>
    <xf numFmtId="0" fontId="0" fillId="0" borderId="0" xfId="0" applyBorder="1"/>
    <xf numFmtId="0" fontId="0" fillId="0" borderId="8" xfId="0" applyBorder="1"/>
    <xf numFmtId="0" fontId="6" fillId="0" borderId="5" xfId="0" applyFont="1" applyBorder="1"/>
    <xf numFmtId="0" fontId="0" fillId="0" borderId="5" xfId="0" applyBorder="1"/>
    <xf numFmtId="0" fontId="0" fillId="0" borderId="7" xfId="0" applyBorder="1"/>
    <xf numFmtId="0" fontId="0" fillId="0" borderId="3" xfId="0" applyBorder="1"/>
    <xf numFmtId="0" fontId="0" fillId="0" borderId="0" xfId="0" applyFill="1" applyBorder="1" applyAlignment="1">
      <alignment horizontal="left" vertical="top"/>
    </xf>
    <xf numFmtId="0" fontId="0" fillId="0" borderId="3" xfId="0" applyFill="1" applyBorder="1" applyAlignment="1">
      <alignment horizontal="left" vertical="top"/>
    </xf>
    <xf numFmtId="0" fontId="11" fillId="0" borderId="18" xfId="0" applyFont="1" applyBorder="1" applyAlignment="1">
      <alignment vertical="top" wrapText="1"/>
    </xf>
    <xf numFmtId="0" fontId="11" fillId="0" borderId="16" xfId="0" applyFont="1" applyBorder="1" applyAlignment="1">
      <alignment vertical="top" wrapText="1"/>
    </xf>
    <xf numFmtId="0" fontId="11" fillId="0" borderId="2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8" xfId="0" applyBorder="1" applyAlignment="1">
      <alignment vertical="top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vertical="center"/>
    </xf>
    <xf numFmtId="0" fontId="15" fillId="3" borderId="10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vertical="center"/>
    </xf>
    <xf numFmtId="0" fontId="15" fillId="3" borderId="10" xfId="0" applyFont="1" applyFill="1" applyBorder="1" applyAlignment="1">
      <alignment vertical="top" wrapText="1"/>
    </xf>
    <xf numFmtId="0" fontId="16" fillId="0" borderId="0" xfId="0" applyFont="1" applyAlignment="1">
      <alignment vertical="top"/>
    </xf>
    <xf numFmtId="0" fontId="16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/>
    <xf numFmtId="0" fontId="0" fillId="0" borderId="3" xfId="0" applyBorder="1" applyAlignment="1"/>
    <xf numFmtId="0" fontId="0" fillId="4" borderId="14" xfId="0" applyFill="1" applyBorder="1" applyAlignment="1" applyProtection="1">
      <alignment horizontal="center" vertical="center"/>
      <protection locked="0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15" xfId="0" applyFill="1" applyBorder="1" applyAlignment="1" applyProtection="1">
      <alignment horizontal="center" vertical="center"/>
      <protection locked="0"/>
    </xf>
    <xf numFmtId="0" fontId="5" fillId="4" borderId="14" xfId="0" applyFont="1" applyFill="1" applyBorder="1" applyAlignment="1" applyProtection="1">
      <alignment horizontal="center" vertical="center"/>
      <protection locked="0"/>
    </xf>
    <xf numFmtId="0" fontId="5" fillId="4" borderId="13" xfId="0" applyFont="1" applyFill="1" applyBorder="1" applyAlignment="1" applyProtection="1">
      <alignment horizontal="center" vertical="center"/>
      <protection locked="0"/>
    </xf>
    <xf numFmtId="0" fontId="5" fillId="4" borderId="15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vertical="top" wrapText="1"/>
    </xf>
    <xf numFmtId="0" fontId="12" fillId="6" borderId="5" xfId="0" applyFont="1" applyFill="1" applyBorder="1" applyAlignment="1">
      <alignment vertical="top" wrapText="1"/>
    </xf>
    <xf numFmtId="0" fontId="11" fillId="6" borderId="5" xfId="0" applyFont="1" applyFill="1" applyBorder="1" applyAlignment="1">
      <alignment vertical="top" wrapText="1"/>
    </xf>
    <xf numFmtId="0" fontId="11" fillId="6" borderId="7" xfId="0" applyFont="1" applyFill="1" applyBorder="1" applyAlignment="1">
      <alignment vertical="top" wrapText="1"/>
    </xf>
    <xf numFmtId="0" fontId="11" fillId="6" borderId="0" xfId="0" applyFont="1" applyFill="1" applyBorder="1" applyAlignment="1">
      <alignment vertical="top" wrapText="1"/>
    </xf>
    <xf numFmtId="0" fontId="11" fillId="6" borderId="19" xfId="0" applyFont="1" applyFill="1" applyBorder="1" applyAlignment="1">
      <alignment vertical="top" wrapText="1"/>
    </xf>
    <xf numFmtId="0" fontId="11" fillId="6" borderId="17" xfId="0" applyFont="1" applyFill="1" applyBorder="1" applyAlignment="1">
      <alignment vertical="top" wrapText="1"/>
    </xf>
    <xf numFmtId="0" fontId="11" fillId="6" borderId="21" xfId="0" applyFont="1" applyFill="1" applyBorder="1" applyAlignment="1">
      <alignment vertical="top" wrapText="1"/>
    </xf>
    <xf numFmtId="0" fontId="3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7" fillId="0" borderId="7" xfId="0" applyFont="1" applyBorder="1" applyAlignment="1">
      <alignment horizontal="left" indent="2"/>
    </xf>
    <xf numFmtId="0" fontId="0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indent="2"/>
    </xf>
    <xf numFmtId="0" fontId="5" fillId="0" borderId="0" xfId="0" applyFont="1" applyBorder="1" applyAlignment="1">
      <alignment vertical="top"/>
    </xf>
    <xf numFmtId="0" fontId="5" fillId="0" borderId="3" xfId="0" applyFont="1" applyBorder="1" applyAlignment="1">
      <alignment vertical="top"/>
    </xf>
    <xf numFmtId="43" fontId="5" fillId="0" borderId="8" xfId="1" applyFont="1" applyBorder="1" applyAlignment="1">
      <alignment vertical="top"/>
    </xf>
    <xf numFmtId="0" fontId="5" fillId="0" borderId="8" xfId="0" applyFont="1" applyBorder="1" applyAlignment="1">
      <alignment vertical="top"/>
    </xf>
    <xf numFmtId="0" fontId="5" fillId="0" borderId="0" xfId="0" applyFont="1" applyBorder="1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 vertical="top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ont="1" applyBorder="1" applyAlignment="1">
      <alignment vertical="top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top"/>
    </xf>
    <xf numFmtId="0" fontId="8" fillId="0" borderId="0" xfId="0" applyFont="1" applyBorder="1" applyAlignment="1">
      <alignment vertical="top"/>
    </xf>
    <xf numFmtId="0" fontId="5" fillId="0" borderId="0" xfId="0" applyFont="1" applyBorder="1" applyAlignment="1">
      <alignment wrapText="1"/>
    </xf>
    <xf numFmtId="0" fontId="5" fillId="0" borderId="0" xfId="0" applyFont="1" applyFill="1" applyBorder="1" applyAlignment="1">
      <alignment horizontal="center" vertical="top" wrapText="1"/>
    </xf>
    <xf numFmtId="0" fontId="9" fillId="0" borderId="0" xfId="0" applyFont="1" applyBorder="1" applyAlignment="1">
      <alignment vertical="center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top"/>
    </xf>
    <xf numFmtId="0" fontId="6" fillId="0" borderId="0" xfId="0" applyFont="1" applyBorder="1"/>
    <xf numFmtId="0" fontId="0" fillId="0" borderId="14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/>
    </xf>
    <xf numFmtId="0" fontId="2" fillId="0" borderId="15" xfId="0" applyFont="1" applyBorder="1" applyAlignment="1">
      <alignment horizontal="left" vertical="top"/>
    </xf>
    <xf numFmtId="0" fontId="4" fillId="0" borderId="14" xfId="0" applyFont="1" applyBorder="1" applyAlignment="1">
      <alignment horizontal="left" vertical="top" wrapText="1"/>
    </xf>
    <xf numFmtId="0" fontId="2" fillId="0" borderId="0" xfId="0" applyFont="1" applyBorder="1"/>
    <xf numFmtId="0" fontId="2" fillId="0" borderId="0" xfId="0" applyFont="1" applyBorder="1" applyAlignment="1">
      <alignment vertical="top" wrapText="1"/>
    </xf>
    <xf numFmtId="0" fontId="0" fillId="0" borderId="0" xfId="0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0" xfId="0" applyFont="1" applyFill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18" fillId="0" borderId="0" xfId="0" applyFont="1"/>
    <xf numFmtId="0" fontId="0" fillId="0" borderId="5" xfId="0" applyFont="1" applyBorder="1" applyAlignment="1">
      <alignment wrapText="1"/>
    </xf>
    <xf numFmtId="0" fontId="0" fillId="4" borderId="14" xfId="0" applyFill="1" applyBorder="1" applyAlignment="1" applyProtection="1">
      <alignment horizontal="left" vertical="top" wrapText="1"/>
      <protection locked="0"/>
    </xf>
    <xf numFmtId="0" fontId="0" fillId="4" borderId="13" xfId="0" applyFill="1" applyBorder="1" applyAlignment="1" applyProtection="1">
      <alignment wrapText="1"/>
      <protection locked="0"/>
    </xf>
    <xf numFmtId="0" fontId="0" fillId="4" borderId="14" xfId="0" applyFill="1" applyBorder="1" applyAlignment="1" applyProtection="1">
      <alignment wrapText="1"/>
      <protection locked="0"/>
    </xf>
    <xf numFmtId="0" fontId="0" fillId="0" borderId="0" xfId="0" applyBorder="1" applyAlignment="1">
      <alignment wrapText="1"/>
    </xf>
    <xf numFmtId="0" fontId="19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center"/>
    </xf>
    <xf numFmtId="0" fontId="0" fillId="0" borderId="28" xfId="0" applyBorder="1"/>
    <xf numFmtId="0" fontId="0" fillId="0" borderId="29" xfId="0" applyBorder="1" applyAlignment="1">
      <alignment horizontal="center" vertical="top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top" wrapText="1"/>
    </xf>
    <xf numFmtId="0" fontId="0" fillId="0" borderId="32" xfId="0" applyBorder="1" applyAlignment="1">
      <alignment horizontal="left" wrapText="1"/>
    </xf>
    <xf numFmtId="0" fontId="19" fillId="0" borderId="33" xfId="0" applyFont="1" applyBorder="1" applyAlignment="1">
      <alignment horizontal="center" vertical="top"/>
    </xf>
    <xf numFmtId="0" fontId="0" fillId="0" borderId="32" xfId="0" applyBorder="1" applyAlignment="1">
      <alignment horizontal="center"/>
    </xf>
    <xf numFmtId="0" fontId="0" fillId="0" borderId="25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right" vertical="top"/>
    </xf>
    <xf numFmtId="0" fontId="3" fillId="3" borderId="12" xfId="0" applyFont="1" applyFill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9" xfId="0" applyFill="1" applyBorder="1" applyAlignment="1" applyProtection="1">
      <alignment horizontal="left" vertical="top" wrapText="1"/>
      <protection locked="0"/>
    </xf>
    <xf numFmtId="0" fontId="0" fillId="0" borderId="3" xfId="0" applyBorder="1" applyAlignment="1">
      <alignment wrapText="1"/>
    </xf>
    <xf numFmtId="0" fontId="15" fillId="3" borderId="10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 wrapText="1"/>
    </xf>
    <xf numFmtId="0" fontId="0" fillId="4" borderId="13" xfId="0" applyFill="1" applyBorder="1" applyAlignment="1" applyProtection="1">
      <alignment horizontal="left" vertical="top" wrapText="1"/>
      <protection locked="0"/>
    </xf>
    <xf numFmtId="0" fontId="0" fillId="4" borderId="15" xfId="0" applyFill="1" applyBorder="1" applyAlignment="1" applyProtection="1">
      <alignment horizontal="left" vertical="top" wrapText="1"/>
      <protection locked="0"/>
    </xf>
    <xf numFmtId="0" fontId="0" fillId="4" borderId="15" xfId="0" applyFill="1" applyBorder="1" applyAlignment="1" applyProtection="1">
      <alignment wrapText="1"/>
      <protection locked="0"/>
    </xf>
    <xf numFmtId="0" fontId="0" fillId="4" borderId="6" xfId="0" applyFill="1" applyBorder="1" applyAlignment="1" applyProtection="1">
      <alignment wrapText="1"/>
      <protection locked="0"/>
    </xf>
    <xf numFmtId="0" fontId="0" fillId="4" borderId="9" xfId="0" applyFill="1" applyBorder="1" applyAlignment="1" applyProtection="1">
      <alignment wrapText="1"/>
      <protection locked="0"/>
    </xf>
    <xf numFmtId="0" fontId="19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20" fillId="7" borderId="10" xfId="0" applyFont="1" applyFill="1" applyBorder="1" applyAlignment="1">
      <alignment horizontal="center" vertical="center" wrapText="1"/>
    </xf>
    <xf numFmtId="164" fontId="0" fillId="7" borderId="12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4" fillId="2" borderId="1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13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top" wrapText="1"/>
    </xf>
    <xf numFmtId="0" fontId="13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 vertical="top" wrapText="1"/>
    </xf>
    <xf numFmtId="0" fontId="0" fillId="0" borderId="14" xfId="0" applyFont="1" applyBorder="1" applyAlignment="1">
      <alignment horizontal="center" vertical="top" wrapText="1"/>
    </xf>
    <xf numFmtId="0" fontId="0" fillId="0" borderId="15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7" xfId="0" applyFont="1" applyBorder="1" applyAlignment="1">
      <alignment horizontal="center" vertical="top" wrapText="1"/>
    </xf>
    <xf numFmtId="0" fontId="22" fillId="8" borderId="2" xfId="0" applyFont="1" applyFill="1" applyBorder="1" applyAlignment="1">
      <alignment vertical="top" wrapText="1"/>
    </xf>
    <xf numFmtId="0" fontId="22" fillId="8" borderId="5" xfId="0" applyFont="1" applyFill="1" applyBorder="1" applyAlignment="1">
      <alignment vertical="top" wrapText="1"/>
    </xf>
    <xf numFmtId="0" fontId="22" fillId="8" borderId="19" xfId="0" applyFont="1" applyFill="1" applyBorder="1" applyAlignment="1">
      <alignment vertical="top" wrapText="1"/>
    </xf>
    <xf numFmtId="0" fontId="13" fillId="8" borderId="17" xfId="0" applyFont="1" applyFill="1" applyBorder="1" applyAlignment="1">
      <alignment vertical="top" wrapText="1"/>
    </xf>
    <xf numFmtId="0" fontId="22" fillId="8" borderId="17" xfId="0" applyFont="1" applyFill="1" applyBorder="1" applyAlignment="1">
      <alignment vertical="top" wrapText="1"/>
    </xf>
    <xf numFmtId="0" fontId="5" fillId="4" borderId="6" xfId="0" applyFont="1" applyFill="1" applyBorder="1" applyProtection="1">
      <protection locked="0"/>
    </xf>
    <xf numFmtId="0" fontId="5" fillId="4" borderId="4" xfId="0" applyFont="1" applyFill="1" applyBorder="1" applyProtection="1">
      <protection locked="0"/>
    </xf>
    <xf numFmtId="0" fontId="5" fillId="4" borderId="9" xfId="0" applyFont="1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4" xfId="0" applyFill="1" applyBorder="1" applyProtection="1">
      <protection locked="0"/>
    </xf>
    <xf numFmtId="0" fontId="0" fillId="4" borderId="9" xfId="0" applyFill="1" applyBorder="1" applyProtection="1">
      <protection locked="0"/>
    </xf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6" xfId="0" applyBorder="1" applyAlignment="1">
      <alignment vertical="center"/>
    </xf>
    <xf numFmtId="0" fontId="23" fillId="9" borderId="10" xfId="0" applyFont="1" applyFill="1" applyBorder="1" applyAlignment="1" applyProtection="1">
      <alignment vertical="center"/>
      <protection locked="0"/>
    </xf>
    <xf numFmtId="0" fontId="23" fillId="9" borderId="11" xfId="0" applyFont="1" applyFill="1" applyBorder="1" applyAlignment="1" applyProtection="1">
      <alignment vertical="center"/>
      <protection locked="0"/>
    </xf>
    <xf numFmtId="0" fontId="23" fillId="9" borderId="12" xfId="0" applyFont="1" applyFill="1" applyBorder="1" applyAlignment="1" applyProtection="1">
      <alignment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164" fontId="0" fillId="5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5" fillId="9" borderId="10" xfId="0" applyFont="1" applyFill="1" applyBorder="1" applyAlignment="1" applyProtection="1">
      <alignment horizontal="center" vertical="center"/>
      <protection locked="0"/>
    </xf>
    <xf numFmtId="0" fontId="5" fillId="9" borderId="11" xfId="0" applyFont="1" applyFill="1" applyBorder="1" applyAlignment="1" applyProtection="1">
      <alignment horizontal="center" vertical="center"/>
      <protection locked="0"/>
    </xf>
    <xf numFmtId="0" fontId="5" fillId="9" borderId="12" xfId="0" applyFont="1" applyFill="1" applyBorder="1" applyAlignment="1" applyProtection="1">
      <alignment horizontal="center" vertical="center"/>
      <protection locked="0"/>
    </xf>
    <xf numFmtId="0" fontId="5" fillId="9" borderId="10" xfId="0" applyFont="1" applyFill="1" applyBorder="1" applyAlignment="1" applyProtection="1">
      <alignment vertical="center"/>
      <protection locked="0"/>
    </xf>
    <xf numFmtId="0" fontId="5" fillId="9" borderId="11" xfId="0" applyFont="1" applyFill="1" applyBorder="1" applyAlignment="1" applyProtection="1">
      <alignment vertical="center"/>
      <protection locked="0"/>
    </xf>
    <xf numFmtId="0" fontId="5" fillId="9" borderId="12" xfId="0" applyFont="1" applyFill="1" applyBorder="1" applyAlignment="1" applyProtection="1">
      <alignment vertical="center"/>
      <protection locked="0"/>
    </xf>
    <xf numFmtId="0" fontId="6" fillId="0" borderId="2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5" xfId="0" applyFont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 textRotation="90" wrapText="1"/>
    </xf>
    <xf numFmtId="0" fontId="6" fillId="0" borderId="13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3" fillId="7" borderId="22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164" fontId="3" fillId="7" borderId="25" xfId="0" applyNumberFormat="1" applyFont="1" applyFill="1" applyBorder="1" applyAlignment="1">
      <alignment horizontal="center" vertical="center"/>
    </xf>
    <xf numFmtId="164" fontId="3" fillId="7" borderId="26" xfId="0" applyNumberFormat="1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2" borderId="13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6.pn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60217</xdr:rowOff>
    </xdr:from>
    <xdr:to>
      <xdr:col>19</xdr:col>
      <xdr:colOff>499054</xdr:colOff>
      <xdr:row>22</xdr:row>
      <xdr:rowOff>155122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488842"/>
          <a:ext cx="5375854" cy="3904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4</xdr:row>
      <xdr:rowOff>38100</xdr:rowOff>
    </xdr:from>
    <xdr:to>
      <xdr:col>8</xdr:col>
      <xdr:colOff>514350</xdr:colOff>
      <xdr:row>14</xdr:row>
      <xdr:rowOff>180975</xdr:rowOff>
    </xdr:to>
    <xdr:sp macro="" textlink="">
      <xdr:nvSpPr>
        <xdr:cNvPr id="3" name="TextBox 2"/>
        <xdr:cNvSpPr txBox="1"/>
      </xdr:nvSpPr>
      <xdr:spPr>
        <a:xfrm>
          <a:off x="733425" y="847725"/>
          <a:ext cx="4657725" cy="2047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000"/>
            <a:t>The Stepwise Approach</a:t>
          </a:r>
          <a:r>
            <a:rPr lang="en-PH" sz="1000" baseline="0"/>
            <a:t> towards Rabies Elimination (SARE) has been developed as a template that countries may use to develop activities and measure progress towards a national programme and strategy for sustainable rabies prevention, control and eventually elimination. </a:t>
          </a:r>
        </a:p>
        <a:p>
          <a:endParaRPr lang="en-PH" sz="1000" baseline="0"/>
        </a:p>
        <a:p>
          <a:r>
            <a:rPr lang="en-PH" sz="1000" baseline="0"/>
            <a:t>This tool focuses on the prevention of dog-transmitted human rabies.</a:t>
          </a:r>
        </a:p>
        <a:p>
          <a:endParaRPr lang="en-PH" sz="100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PH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SARE is</a:t>
          </a:r>
          <a:r>
            <a:rPr lang="en-P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not prescriptive nor is it intended to replace existing regional or national rabies control strategies. This tool may serve as a self-assessment and a practical guide in developing a national rabies program and to successfully implement the different described stages.</a:t>
          </a:r>
          <a:endParaRPr lang="en-PH" sz="1000">
            <a:effectLst/>
          </a:endParaRPr>
        </a:p>
        <a:p>
          <a:endParaRPr lang="en-PH" sz="1000"/>
        </a:p>
      </xdr:txBody>
    </xdr:sp>
    <xdr:clientData/>
  </xdr:twoCellAnchor>
  <xdr:twoCellAnchor>
    <xdr:from>
      <xdr:col>5</xdr:col>
      <xdr:colOff>200025</xdr:colOff>
      <xdr:row>0</xdr:row>
      <xdr:rowOff>66675</xdr:rowOff>
    </xdr:from>
    <xdr:to>
      <xdr:col>13</xdr:col>
      <xdr:colOff>200024</xdr:colOff>
      <xdr:row>3</xdr:row>
      <xdr:rowOff>66675</xdr:rowOff>
    </xdr:to>
    <xdr:sp macro="" textlink="">
      <xdr:nvSpPr>
        <xdr:cNvPr id="4" name="TextBox 3"/>
        <xdr:cNvSpPr txBox="1"/>
      </xdr:nvSpPr>
      <xdr:spPr>
        <a:xfrm>
          <a:off x="3248025" y="66675"/>
          <a:ext cx="4876799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PH" sz="1600" b="1"/>
            <a:t>The Stepwise Approach towards Rabies Elimination:</a:t>
          </a:r>
        </a:p>
        <a:p>
          <a:pPr algn="ctr"/>
          <a:endParaRPr lang="en-PH" sz="100"/>
        </a:p>
        <a:p>
          <a:pPr algn="ctr"/>
          <a:r>
            <a:rPr lang="en-PH" sz="1400"/>
            <a:t>A planning and evaluation tool</a:t>
          </a:r>
        </a:p>
      </xdr:txBody>
    </xdr:sp>
    <xdr:clientData/>
  </xdr:twoCellAnchor>
  <xdr:twoCellAnchor>
    <xdr:from>
      <xdr:col>1</xdr:col>
      <xdr:colOff>533400</xdr:colOff>
      <xdr:row>15</xdr:row>
      <xdr:rowOff>85725</xdr:rowOff>
    </xdr:from>
    <xdr:to>
      <xdr:col>7</xdr:col>
      <xdr:colOff>485775</xdr:colOff>
      <xdr:row>19</xdr:row>
      <xdr:rowOff>133350</xdr:rowOff>
    </xdr:to>
    <xdr:sp macro="" textlink="">
      <xdr:nvSpPr>
        <xdr:cNvPr id="6" name="TextBox 5"/>
        <xdr:cNvSpPr txBox="1"/>
      </xdr:nvSpPr>
      <xdr:spPr>
        <a:xfrm>
          <a:off x="1143000" y="2990850"/>
          <a:ext cx="3609975" cy="8096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PH" sz="1000"/>
            <a:t>Please</a:t>
          </a:r>
          <a:r>
            <a:rPr lang="en-PH" sz="1000" baseline="0"/>
            <a:t> fill out worksheets </a:t>
          </a:r>
          <a:r>
            <a:rPr lang="en-PH" sz="1000" b="1" baseline="0"/>
            <a:t>Country profile</a:t>
          </a:r>
          <a:r>
            <a:rPr lang="en-PH" sz="1000" b="0" baseline="0"/>
            <a:t> to </a:t>
          </a:r>
          <a:r>
            <a:rPr lang="en-PH" sz="1000" b="1" baseline="0"/>
            <a:t>Cross-cutting issues</a:t>
          </a:r>
          <a:r>
            <a:rPr lang="en-PH" sz="1000" b="0" baseline="0"/>
            <a:t>. </a:t>
          </a:r>
        </a:p>
        <a:p>
          <a:pPr algn="ctr"/>
          <a:endParaRPr lang="en-PH" sz="1000" b="0" baseline="0">
            <a:effectLst/>
          </a:endParaRPr>
        </a:p>
        <a:p>
          <a:pPr algn="ctr"/>
          <a:r>
            <a:rPr lang="en-PH" sz="1000" b="0" baseline="0">
              <a:effectLst/>
            </a:rPr>
            <a:t>A summary of your country's accomplished and pending rabies program activities will be listed in the </a:t>
          </a:r>
          <a:r>
            <a:rPr lang="en-PH" sz="1000" b="1" baseline="0">
              <a:effectLst/>
            </a:rPr>
            <a:t>SUMMARY</a:t>
          </a:r>
          <a:r>
            <a:rPr lang="en-PH" sz="1000" b="0" baseline="0">
              <a:effectLst/>
            </a:rPr>
            <a:t> worksheets.</a:t>
          </a:r>
          <a:endParaRPr lang="en-PH" sz="1000">
            <a:effectLst/>
          </a:endParaRPr>
        </a:p>
        <a:p>
          <a:pPr algn="ctr"/>
          <a:endParaRPr lang="en-PH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22</xdr:row>
      <xdr:rowOff>63500</xdr:rowOff>
    </xdr:from>
    <xdr:to>
      <xdr:col>7</xdr:col>
      <xdr:colOff>27940</xdr:colOff>
      <xdr:row>31</xdr:row>
      <xdr:rowOff>60452</xdr:rowOff>
    </xdr:to>
    <xdr:pic>
      <xdr:nvPicPr>
        <xdr:cNvPr id="2" name="Picture 1" descr="Stage 0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981700"/>
          <a:ext cx="9144000" cy="159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50800</xdr:rowOff>
    </xdr:from>
    <xdr:to>
      <xdr:col>6</xdr:col>
      <xdr:colOff>1049020</xdr:colOff>
      <xdr:row>44</xdr:row>
      <xdr:rowOff>9144</xdr:rowOff>
    </xdr:to>
    <xdr:pic>
      <xdr:nvPicPr>
        <xdr:cNvPr id="3" name="Picture 2" descr="Stage 1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4800"/>
          <a:ext cx="9144000" cy="191414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</xdr:row>
      <xdr:rowOff>12700</xdr:rowOff>
    </xdr:from>
    <xdr:to>
      <xdr:col>6</xdr:col>
      <xdr:colOff>1074420</xdr:colOff>
      <xdr:row>56</xdr:row>
      <xdr:rowOff>2540</xdr:rowOff>
    </xdr:to>
    <xdr:pic>
      <xdr:nvPicPr>
        <xdr:cNvPr id="4" name="Picture 3" descr="Stage 2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98100"/>
          <a:ext cx="9144000" cy="1767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6</xdr:col>
      <xdr:colOff>1049020</xdr:colOff>
      <xdr:row>67</xdr:row>
      <xdr:rowOff>137160</xdr:rowOff>
    </xdr:to>
    <xdr:pic>
      <xdr:nvPicPr>
        <xdr:cNvPr id="5" name="Picture 4" descr="Stage 3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19000"/>
          <a:ext cx="9144000" cy="1737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6</xdr:col>
      <xdr:colOff>1049020</xdr:colOff>
      <xdr:row>80</xdr:row>
      <xdr:rowOff>2032</xdr:rowOff>
    </xdr:to>
    <xdr:pic>
      <xdr:nvPicPr>
        <xdr:cNvPr id="6" name="Picture 5" descr="Stage 4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52600"/>
          <a:ext cx="9144000" cy="17800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6</xdr:col>
      <xdr:colOff>1049020</xdr:colOff>
      <xdr:row>91</xdr:row>
      <xdr:rowOff>33528</xdr:rowOff>
    </xdr:to>
    <xdr:pic>
      <xdr:nvPicPr>
        <xdr:cNvPr id="7" name="Picture 6" descr="Stage 5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86200"/>
          <a:ext cx="9144000" cy="1633728"/>
        </a:xfrm>
        <a:prstGeom prst="rect">
          <a:avLst/>
        </a:prstGeom>
      </xdr:spPr>
    </xdr:pic>
    <xdr:clientData/>
  </xdr:twoCellAnchor>
  <xdr:twoCellAnchor editAs="oneCell">
    <xdr:from>
      <xdr:col>5</xdr:col>
      <xdr:colOff>1074420</xdr:colOff>
      <xdr:row>16</xdr:row>
      <xdr:rowOff>205740</xdr:rowOff>
    </xdr:from>
    <xdr:to>
      <xdr:col>8</xdr:col>
      <xdr:colOff>23386</xdr:colOff>
      <xdr:row>17</xdr:row>
      <xdr:rowOff>7620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586" t="45191" r="73319" b="52433"/>
        <a:stretch/>
      </xdr:blipFill>
      <xdr:spPr>
        <a:xfrm>
          <a:off x="7254240" y="5242560"/>
          <a:ext cx="2225566" cy="167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workbookViewId="0">
      <selection activeCell="C24" sqref="C24"/>
    </sheetView>
  </sheetViews>
  <sheetFormatPr baseColWidth="10" defaultColWidth="8.83203125" defaultRowHeight="14" x14ac:dyDescent="0"/>
  <sheetData>
    <row r="1" spans="1:1" ht="18">
      <c r="A1" s="98"/>
    </row>
    <row r="2" spans="1:1">
      <c r="A2" s="11"/>
    </row>
  </sheetData>
  <sheetProtection password="CAED" sheet="1" objects="1" scenarios="1"/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C24" sqref="C24"/>
    </sheetView>
  </sheetViews>
  <sheetFormatPr baseColWidth="10" defaultColWidth="8.83203125" defaultRowHeight="14" x14ac:dyDescent="0"/>
  <cols>
    <col min="1" max="1" width="9.1640625" style="4" customWidth="1"/>
    <col min="2" max="2" width="14.83203125" customWidth="1"/>
    <col min="3" max="3" width="56" style="5" customWidth="1"/>
    <col min="4" max="4" width="50.33203125" customWidth="1"/>
    <col min="6" max="6" width="44.83203125" style="5" customWidth="1"/>
    <col min="7" max="7" width="71.6640625" style="160" customWidth="1"/>
  </cols>
  <sheetData>
    <row r="1" spans="1:7" ht="15">
      <c r="A1" s="14" t="s">
        <v>117</v>
      </c>
      <c r="D1" s="5"/>
    </row>
    <row r="2" spans="1:7">
      <c r="A2" s="2" t="s">
        <v>4</v>
      </c>
      <c r="D2" s="5"/>
    </row>
    <row r="3" spans="1:7" s="118" customFormat="1" ht="28">
      <c r="A3" s="90" t="s">
        <v>0</v>
      </c>
      <c r="B3" s="94" t="s">
        <v>142</v>
      </c>
      <c r="C3" s="96" t="s">
        <v>1</v>
      </c>
      <c r="D3" s="109" t="s">
        <v>417</v>
      </c>
      <c r="E3" s="92" t="s">
        <v>2</v>
      </c>
      <c r="F3" s="183" t="s">
        <v>3</v>
      </c>
      <c r="G3" s="162"/>
    </row>
    <row r="4" spans="1:7" ht="28">
      <c r="A4" s="30">
        <v>1</v>
      </c>
      <c r="B4" s="248" t="s">
        <v>105</v>
      </c>
      <c r="C4" s="23" t="s">
        <v>92</v>
      </c>
      <c r="D4" s="87"/>
      <c r="E4" s="103">
        <v>1</v>
      </c>
      <c r="F4" s="229"/>
    </row>
    <row r="5" spans="1:7">
      <c r="A5" s="30">
        <v>1</v>
      </c>
      <c r="B5" s="249"/>
      <c r="C5" s="23" t="s">
        <v>93</v>
      </c>
      <c r="D5" s="129" t="s">
        <v>444</v>
      </c>
      <c r="E5" s="103">
        <v>1</v>
      </c>
      <c r="F5" s="229"/>
    </row>
    <row r="6" spans="1:7">
      <c r="A6" s="30">
        <v>1</v>
      </c>
      <c r="B6" s="249"/>
      <c r="C6" s="23" t="s">
        <v>94</v>
      </c>
      <c r="D6" s="129" t="s">
        <v>445</v>
      </c>
      <c r="E6" s="103">
        <v>1</v>
      </c>
      <c r="F6" s="229"/>
    </row>
    <row r="7" spans="1:7" ht="28">
      <c r="A7" s="30">
        <v>2</v>
      </c>
      <c r="B7" s="249"/>
      <c r="C7" s="23" t="s">
        <v>97</v>
      </c>
      <c r="D7" s="87"/>
      <c r="E7" s="103">
        <v>0</v>
      </c>
      <c r="F7" s="229"/>
    </row>
    <row r="8" spans="1:7">
      <c r="A8" s="30">
        <v>2</v>
      </c>
      <c r="B8" s="249"/>
      <c r="C8" s="39" t="s">
        <v>100</v>
      </c>
      <c r="D8" s="87"/>
      <c r="E8" s="103">
        <v>0</v>
      </c>
      <c r="F8" s="229"/>
    </row>
    <row r="9" spans="1:7" ht="42">
      <c r="A9" s="29">
        <v>1</v>
      </c>
      <c r="B9" s="248" t="s">
        <v>106</v>
      </c>
      <c r="C9" s="40" t="s">
        <v>95</v>
      </c>
      <c r="D9" s="88"/>
      <c r="E9" s="104">
        <v>0</v>
      </c>
      <c r="F9" s="230"/>
    </row>
    <row r="10" spans="1:7" ht="28">
      <c r="A10" s="30">
        <v>1</v>
      </c>
      <c r="B10" s="249"/>
      <c r="C10" s="39" t="s">
        <v>96</v>
      </c>
      <c r="D10" s="87"/>
      <c r="E10" s="103">
        <v>1</v>
      </c>
      <c r="F10" s="229" t="s">
        <v>493</v>
      </c>
    </row>
    <row r="11" spans="1:7" ht="42">
      <c r="A11" s="30">
        <v>2</v>
      </c>
      <c r="B11" s="249"/>
      <c r="C11" s="39" t="s">
        <v>98</v>
      </c>
      <c r="D11" s="159" t="s">
        <v>446</v>
      </c>
      <c r="E11" s="103">
        <v>0</v>
      </c>
      <c r="F11" s="229"/>
    </row>
    <row r="12" spans="1:7">
      <c r="A12" s="30">
        <v>2</v>
      </c>
      <c r="B12" s="249"/>
      <c r="C12" s="39" t="s">
        <v>99</v>
      </c>
      <c r="D12" s="87"/>
      <c r="E12" s="103">
        <v>0</v>
      </c>
      <c r="F12" s="229"/>
    </row>
    <row r="13" spans="1:7">
      <c r="A13" s="30">
        <v>3</v>
      </c>
      <c r="B13" s="249"/>
      <c r="C13" s="39" t="s">
        <v>131</v>
      </c>
      <c r="D13" s="87" t="s">
        <v>133</v>
      </c>
      <c r="E13" s="103">
        <v>0</v>
      </c>
      <c r="F13" s="229"/>
    </row>
    <row r="14" spans="1:7" ht="28">
      <c r="A14" s="30">
        <v>3</v>
      </c>
      <c r="B14" s="249"/>
      <c r="C14" s="39" t="s">
        <v>132</v>
      </c>
      <c r="D14" s="87" t="s">
        <v>133</v>
      </c>
      <c r="E14" s="103">
        <v>0</v>
      </c>
      <c r="F14" s="229"/>
    </row>
    <row r="15" spans="1:7" ht="28">
      <c r="A15" s="30">
        <v>3</v>
      </c>
      <c r="B15" s="249"/>
      <c r="C15" s="39" t="s">
        <v>101</v>
      </c>
      <c r="D15" s="87"/>
      <c r="E15" s="103">
        <v>0</v>
      </c>
      <c r="F15" s="229"/>
    </row>
    <row r="16" spans="1:7" ht="28">
      <c r="A16" s="31">
        <v>4</v>
      </c>
      <c r="B16" s="250"/>
      <c r="C16" s="41" t="s">
        <v>492</v>
      </c>
      <c r="D16" s="89"/>
      <c r="E16" s="105">
        <v>0</v>
      </c>
      <c r="F16" s="231"/>
    </row>
    <row r="17" spans="1:6" ht="28">
      <c r="A17" s="30">
        <v>4</v>
      </c>
      <c r="B17" s="249" t="s">
        <v>107</v>
      </c>
      <c r="C17" s="23" t="s">
        <v>102</v>
      </c>
      <c r="D17" s="87"/>
      <c r="E17" s="103">
        <v>0</v>
      </c>
      <c r="F17" s="229"/>
    </row>
    <row r="18" spans="1:6" ht="28">
      <c r="A18" s="31">
        <v>4</v>
      </c>
      <c r="B18" s="250"/>
      <c r="C18" s="24" t="s">
        <v>103</v>
      </c>
      <c r="D18" s="89"/>
      <c r="E18" s="105">
        <v>0</v>
      </c>
      <c r="F18" s="231"/>
    </row>
  </sheetData>
  <sheetProtection password="CAED" sheet="1" objects="1" scenarios="1"/>
  <mergeCells count="3">
    <mergeCell ref="B17:B18"/>
    <mergeCell ref="B9:B16"/>
    <mergeCell ref="B4:B8"/>
  </mergeCells>
  <dataValidations count="1">
    <dataValidation type="whole" operator="lessThanOrEqual" allowBlank="1" showErrorMessage="1" error="Please enter:_x000a_&quot;0&quot; if No or None, or_x000a_&quot;1&quot; if Yes" sqref="E1:E1048576">
      <formula1>1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H82"/>
  <sheetViews>
    <sheetView workbookViewId="0">
      <selection activeCell="C24" sqref="C24"/>
    </sheetView>
  </sheetViews>
  <sheetFormatPr baseColWidth="10" defaultColWidth="8.83203125" defaultRowHeight="14" x14ac:dyDescent="0"/>
  <cols>
    <col min="1" max="1" width="33.83203125" customWidth="1"/>
    <col min="2" max="3" width="11.6640625" customWidth="1"/>
    <col min="4" max="4" width="4" customWidth="1"/>
    <col min="5" max="5" width="29" customWidth="1"/>
    <col min="6" max="6" width="15.83203125" customWidth="1"/>
    <col min="7" max="7" width="16" style="132" customWidth="1"/>
    <col min="8" max="8" width="16" style="4" customWidth="1"/>
    <col min="9" max="9" width="27.83203125" customWidth="1"/>
  </cols>
  <sheetData>
    <row r="1" spans="1:8" ht="18">
      <c r="A1" s="99" t="s">
        <v>144</v>
      </c>
      <c r="E1" s="264" t="str">
        <f>'SUMMARY (Stage)'!E1</f>
        <v>ETHIOPIA</v>
      </c>
      <c r="F1" s="265"/>
      <c r="G1" s="265"/>
      <c r="H1" s="266"/>
    </row>
    <row r="2" spans="1:8" ht="15" thickBot="1">
      <c r="A2" s="15" t="s">
        <v>447</v>
      </c>
      <c r="E2" s="267">
        <f>'SUMMARY (Stage)'!F1</f>
        <v>42416</v>
      </c>
      <c r="F2" s="268"/>
      <c r="G2" s="268"/>
      <c r="H2" s="269"/>
    </row>
    <row r="3" spans="1:8">
      <c r="A3" s="15"/>
      <c r="E3" s="172"/>
      <c r="F3" s="76"/>
      <c r="G3" s="134"/>
      <c r="H3" s="173"/>
    </row>
    <row r="4" spans="1:8" ht="42">
      <c r="A4" s="90" t="s">
        <v>419</v>
      </c>
      <c r="B4" s="109" t="s">
        <v>421</v>
      </c>
      <c r="C4" s="109" t="s">
        <v>420</v>
      </c>
      <c r="E4" s="174" t="s">
        <v>0</v>
      </c>
      <c r="F4" s="109" t="s">
        <v>421</v>
      </c>
      <c r="G4" s="109" t="s">
        <v>420</v>
      </c>
      <c r="H4" s="175" t="s">
        <v>454</v>
      </c>
    </row>
    <row r="5" spans="1:8" ht="45">
      <c r="A5" s="165" t="s">
        <v>461</v>
      </c>
      <c r="B5" s="130">
        <f>(COUNT(STATUS))-C5</f>
        <v>3</v>
      </c>
      <c r="C5" s="122">
        <f>SUM(Legislation!E:E)</f>
        <v>9</v>
      </c>
      <c r="E5" s="176" t="s">
        <v>455</v>
      </c>
      <c r="F5" s="170">
        <f>COUNTIF('SUMMARY (Stage)'!B6:B10,"?*")+COUNTIF('SUMMARY (Stage)'!E6:E10,"?*")+COUNTIF('SUMMARY (Stage)'!H6:H10,"?*")+COUNTIF('SUMMARY (Stage)'!K6:K10,"?*")+COUNTIF('SUMMARY (Stage)'!N6:N10,"?*")+COUNTIF('SUMMARY (Stage)'!Q6:Q10,"?*")+COUNTIF('SUMMARY (Stage)'!T6:T10,"?*")</f>
        <v>1</v>
      </c>
      <c r="G5" s="170">
        <f>COUNTIF('SUMMARY (Stage)'!C6:C10,"?*")+COUNTIF('SUMMARY (Stage)'!F6:F10,"?*")+COUNTIF('SUMMARY (Stage)'!I6:I10,"?*")+COUNTIF('SUMMARY (Stage)'!L6:L10,"?*")+COUNTIF('SUMMARY (Stage)'!O6:O10,"?*")+COUNTIF('SUMMARY (Stage)'!R6:R10,"?*")+COUNTIF('SUMMARY (Stage)'!U6:U10,"?*")</f>
        <v>4</v>
      </c>
      <c r="H5" s="177">
        <f>COUNTIF('Lab dx'!E4,"1")+COUNTIF('Lab dx'!E5,"1")</f>
        <v>2</v>
      </c>
    </row>
    <row r="6" spans="1:8" ht="7.25" customHeight="1">
      <c r="A6" s="120"/>
      <c r="B6" s="130"/>
      <c r="C6" s="122"/>
      <c r="E6" s="178"/>
      <c r="F6" s="171"/>
      <c r="G6" s="171"/>
      <c r="H6" s="177"/>
    </row>
    <row r="7" spans="1:8" ht="45">
      <c r="A7" s="165" t="s">
        <v>462</v>
      </c>
      <c r="B7" s="130">
        <f>(COUNT(datastatus)-'SUMMARY (Score)'!C7)</f>
        <v>6</v>
      </c>
      <c r="C7" s="122">
        <f>SUM('Data coll &amp; ax'!E:E)</f>
        <v>3</v>
      </c>
      <c r="E7" s="176" t="s">
        <v>456</v>
      </c>
      <c r="F7" s="170">
        <f>COUNTIF('SUMMARY (Stage)'!B11:B19,"?*")+COUNTIF('SUMMARY (Stage)'!E11:E19,"?*")+COUNTIF('SUMMARY (Stage)'!H11:H19,"?*")+COUNTIF('SUMMARY (Stage)'!K11:K19,"?*")+COUNTIF('SUMMARY (Stage)'!N11:N19,"?*")+COUNTIF('SUMMARY (Stage)'!Q11:Q19,"?*")+COUNTIF('SUMMARY (Stage)'!T11:T19,"?*")</f>
        <v>6</v>
      </c>
      <c r="G7" s="170">
        <f>COUNTIF('SUMMARY (Stage)'!C11:C19,"?*")+COUNTIF('SUMMARY (Stage)'!F11:F19,"?*")+COUNTIF('SUMMARY (Stage)'!I11:I19,"?*")+COUNTIF('SUMMARY (Stage)'!L11:L19,"?*")+COUNTIF('SUMMARY (Stage)'!O11:O19,"?*")+COUNTIF('SUMMARY (Stage)'!R11:R19,"?*")+COUNTIF('SUMMARY (Stage)'!U11:U19,"?*")</f>
        <v>24</v>
      </c>
      <c r="H7" s="177">
        <f>COUNTIF(Legislation!E13,"1")+COUNTIF('Data coll &amp; ax'!E4,"1")+COUNTIF(IEC!E6,"1")+COUNTIF(IEC!E10,"1")+COUNTIF('Prev &amp; Ctrl'!E11,"1")+COUNTIF('Prev &amp; Ctrl'!E4,"1")+COUNTIF('Cross-cutting issues'!E6,"1")</f>
        <v>6</v>
      </c>
    </row>
    <row r="8" spans="1:8" ht="7.25" customHeight="1">
      <c r="A8" s="120"/>
      <c r="B8" s="130"/>
      <c r="C8" s="122"/>
      <c r="E8" s="178"/>
      <c r="F8" s="171"/>
      <c r="G8" s="171"/>
      <c r="H8" s="177"/>
    </row>
    <row r="9" spans="1:8" ht="43">
      <c r="A9" s="165" t="s">
        <v>463</v>
      </c>
      <c r="B9" s="130">
        <f>COUNT(labstatus)-'SUMMARY (Score)'!C9</f>
        <v>3</v>
      </c>
      <c r="C9" s="122">
        <f>SUM('Lab dx'!E:E)</f>
        <v>7</v>
      </c>
      <c r="E9" s="176" t="s">
        <v>457</v>
      </c>
      <c r="F9" s="170">
        <f>COUNTIF('SUMMARY (Stage)'!B20:B28,"?*")+COUNTIF('SUMMARY (Stage)'!E20:E28,"?*")+COUNTIF('SUMMARY (Stage)'!H20:H28,"?*")+COUNTIF('SUMMARY (Stage)'!K20:K28,"?*")+COUNTIF('SUMMARY (Stage)'!N20:N28,"?*")+COUNTIF('SUMMARY (Stage)'!Q20:Q28,"?*")+COUNTIF('SUMMARY (Stage)'!T20:T28,"?*")</f>
        <v>16</v>
      </c>
      <c r="G9" s="170">
        <f>COUNTIF('SUMMARY (Stage)'!C20:C28,"?*")+COUNTIF('SUMMARY (Stage)'!F20:F28,"?*")+COUNTIF('SUMMARY (Stage)'!I20:I28,"?*")+COUNTIF('SUMMARY (Stage)'!L20:L28,"?*")+COUNTIF('SUMMARY (Stage)'!O20:O28,"?*")+COUNTIF('SUMMARY (Stage)'!R20:R28,"?*")+COUNTIF('SUMMARY (Stage)'!U20:U28,"?*")</f>
        <v>8</v>
      </c>
      <c r="H9" s="177">
        <f>COUNTIF('Cross-cutting issues'!E11,"1")+COUNTIF('Cross-cutting issues'!E12,"1")+COUNTIF('Data coll &amp; ax'!E8,"1")+COUNTIF('Prev &amp; Ctrl'!E13,"1")+COUNTIF('Prev &amp; Ctrl'!E6,"1")+COUNTIF('Prev &amp; Ctrl'!E7,"1")+COUNTIF(IEC!E8,"1")</f>
        <v>0</v>
      </c>
    </row>
    <row r="10" spans="1:8" ht="7.25" customHeight="1">
      <c r="A10" s="120"/>
      <c r="B10" s="130"/>
      <c r="C10" s="122"/>
      <c r="E10" s="178"/>
      <c r="F10" s="171"/>
      <c r="G10" s="171"/>
      <c r="H10" s="177"/>
    </row>
    <row r="11" spans="1:8" ht="42.5" customHeight="1">
      <c r="A11" s="165" t="s">
        <v>464</v>
      </c>
      <c r="B11" s="130">
        <f>COUNT(iecstatus)-'SUMMARY (Score)'!C11</f>
        <v>10</v>
      </c>
      <c r="C11" s="122">
        <f>SUM(IEC!E:E)</f>
        <v>8</v>
      </c>
      <c r="E11" s="176" t="s">
        <v>458</v>
      </c>
      <c r="F11" s="170">
        <f>COUNTIF('SUMMARY (Stage)'!B29:B37,"?*")+COUNTIF('SUMMARY (Stage)'!E29:E37,"?*")+COUNTIF('SUMMARY (Stage)'!H29:H37,"?*")+COUNTIF('SUMMARY (Stage)'!K29:K37,"?*")+COUNTIF('SUMMARY (Stage)'!N29:N37,"?*")+COUNTIF('SUMMARY (Stage)'!Q29:Q37,"?*")+COUNTIF('SUMMARY (Stage)'!T29:T37,"?*")</f>
        <v>18</v>
      </c>
      <c r="G11" s="170">
        <f>COUNTIF('SUMMARY (Stage)'!C29:C37,"?*")+COUNTIF('SUMMARY (Stage)'!F29:F37,"?*")+COUNTIF('SUMMARY (Stage)'!I29:I37,"?*")+COUNTIF('SUMMARY (Stage)'!L29:L37,"?*")+COUNTIF('SUMMARY (Stage)'!O29:O37,"?*")+COUNTIF('SUMMARY (Stage)'!R29:R37,"?*")+COUNTIF('SUMMARY (Stage)'!U29:U37,"?*")</f>
        <v>1</v>
      </c>
      <c r="H11" s="177">
        <f>COUNTIF('Prev &amp; Ctrl'!E14,"1")+COUNTIF('Prev &amp; Ctrl'!E8,"1")+COUNTIF(IEC!E16,"1")+COUNTIF('Data coll &amp; ax'!E9,"1")</f>
        <v>0</v>
      </c>
    </row>
    <row r="12" spans="1:8" ht="7.25" customHeight="1">
      <c r="A12" s="120"/>
      <c r="B12" s="130"/>
      <c r="C12" s="122"/>
      <c r="E12" s="178"/>
      <c r="F12" s="170"/>
      <c r="G12" s="170"/>
      <c r="H12" s="177"/>
    </row>
    <row r="13" spans="1:8" ht="45">
      <c r="A13" s="165" t="s">
        <v>465</v>
      </c>
      <c r="B13" s="130">
        <f>COUNT(prevstatus)-'SUMMARY (Score)'!C13</f>
        <v>20</v>
      </c>
      <c r="C13" s="122">
        <f>SUM('Prev &amp; Ctrl'!E:E)</f>
        <v>5</v>
      </c>
      <c r="E13" s="176" t="s">
        <v>459</v>
      </c>
      <c r="F13" s="170">
        <f>COUNTIF('SUMMARY (Stage)'!B38:B46,"?*")+COUNTIF('SUMMARY (Stage)'!E38:E46,"?*")+COUNTIF('SUMMARY (Stage)'!H38:H46,"?*")+COUNTIF('SUMMARY (Stage)'!K38:K46,"?*")+COUNTIF('SUMMARY (Stage)'!N38:N46,"?*")+COUNTIF('SUMMARY (Stage)'!Q38:Q46,"?*")+COUNTIF('SUMMARY (Stage)'!T38:T46,"?*")</f>
        <v>9</v>
      </c>
      <c r="G13" s="170">
        <f>COUNTIF('SUMMARY (Stage)'!C38:C46,"?*")+COUNTIF('SUMMARY (Stage)'!F38:F46,"?*")+COUNTIF('SUMMARY (Stage)'!I38:I46,"?*")+COUNTIF('SUMMARY (Stage)'!L38:L46,"?*")+COUNTIF('SUMMARY (Stage)'!O38:O46,"?*")+COUNTIF('SUMMARY (Stage)'!R38:R46,"?*")+COUNTIF('SUMMARY (Stage)'!U38:U46,"?*")</f>
        <v>0</v>
      </c>
      <c r="H13" s="177">
        <f>COUNTIF('Prev &amp; Ctrl'!E25,"1")+COUNTIF(IEC!E18,"1")+COUNTIF('Prev &amp; Ctrl'!E27,"1")+COUNTIF('Cross-cutting issues'!E16,"1")</f>
        <v>0</v>
      </c>
    </row>
    <row r="14" spans="1:8" ht="7.25" customHeight="1">
      <c r="A14" s="120"/>
      <c r="B14" s="122"/>
      <c r="C14" s="122"/>
      <c r="E14" s="178"/>
      <c r="F14" s="170"/>
      <c r="G14" s="170"/>
      <c r="H14" s="177"/>
    </row>
    <row r="15" spans="1:8" ht="43">
      <c r="A15" s="165" t="s">
        <v>466</v>
      </c>
      <c r="B15" s="130">
        <f>(COUNT(dogstatus)-'SUMMARY (Score)'!C15)</f>
        <v>2</v>
      </c>
      <c r="C15" s="122">
        <f>SUM('Dog popn'!E:E)</f>
        <v>1</v>
      </c>
      <c r="E15" s="176" t="s">
        <v>460</v>
      </c>
      <c r="F15" s="170">
        <f>COUNTIF('SUMMARY (Stage)'!B47:B55,"?*")+COUNTIF('SUMMARY (Stage)'!E47:E55,"?*")+COUNTIF('SUMMARY (Stage)'!H47:H55,"?*")+COUNTIF('SUMMARY (Stage)'!K47:K55,"?*")+COUNTIF('SUMMARY (Stage)'!N47:N55,"?*")+COUNTIF('SUMMARY (Stage)'!Q47:Q55,"?*")+COUNTIF('SUMMARY (Stage)'!T47:T55,"?*")</f>
        <v>5</v>
      </c>
      <c r="G15" s="170">
        <f>COUNTIF('SUMMARY (Stage)'!C41:C49,"?*")+COUNTIF('SUMMARY (Stage)'!F41:F49,"?*")+COUNTIF('SUMMARY (Stage)'!I41:I49,"?*")+COUNTIF('SUMMARY (Stage)'!L41:L49,"?*")+COUNTIF('SUMMARY (Stage)'!O41:O49,"?*")+COUNTIF('SUMMARY (Stage)'!R41:R49,"?*")+COUNTIF('SUMMARY (Stage)'!U41:U49,"?*")</f>
        <v>0</v>
      </c>
      <c r="H15" s="177">
        <f>COUNTIF('Data coll &amp; ax'!E10,"1")+COUNTIF(IEC!E19,"1")</f>
        <v>0</v>
      </c>
    </row>
    <row r="16" spans="1:8" ht="7.75" customHeight="1">
      <c r="A16" s="120"/>
      <c r="B16" s="130"/>
      <c r="C16" s="122"/>
      <c r="E16" s="172"/>
      <c r="F16" s="134"/>
      <c r="G16" s="134"/>
      <c r="H16" s="173"/>
    </row>
    <row r="17" spans="1:8" ht="28">
      <c r="A17" s="165" t="s">
        <v>467</v>
      </c>
      <c r="B17" s="130">
        <f>COUNT(crossstatus)-'SUMMARY (Score)'!C17</f>
        <v>11</v>
      </c>
      <c r="C17" s="122">
        <f>SUM('Cross-cutting issues'!E:E)</f>
        <v>4</v>
      </c>
      <c r="E17" s="172"/>
      <c r="F17" s="134"/>
      <c r="G17" s="134"/>
      <c r="H17" s="173"/>
    </row>
    <row r="18" spans="1:8" ht="15" thickBot="1">
      <c r="A18" s="121"/>
      <c r="B18" s="131"/>
      <c r="C18" s="123"/>
      <c r="E18" s="179"/>
      <c r="F18" s="180"/>
      <c r="G18" s="181" t="s">
        <v>472</v>
      </c>
      <c r="H18" s="182" t="s">
        <v>473</v>
      </c>
    </row>
    <row r="19" spans="1:8">
      <c r="B19" s="119"/>
      <c r="F19" s="132"/>
    </row>
    <row r="20" spans="1:8" ht="16">
      <c r="A20" s="164" t="s">
        <v>474</v>
      </c>
      <c r="F20" s="132"/>
    </row>
    <row r="22" spans="1:8">
      <c r="A22" t="s">
        <v>448</v>
      </c>
    </row>
    <row r="33" spans="1:1">
      <c r="A33" t="s">
        <v>449</v>
      </c>
    </row>
    <row r="46" spans="1:1">
      <c r="A46" t="s">
        <v>450</v>
      </c>
    </row>
    <row r="58" spans="1:1">
      <c r="A58" t="s">
        <v>451</v>
      </c>
    </row>
    <row r="70" spans="1:1">
      <c r="A70" t="s">
        <v>452</v>
      </c>
    </row>
    <row r="82" spans="1:1">
      <c r="A82" t="s">
        <v>453</v>
      </c>
    </row>
  </sheetData>
  <sheetProtection password="CAED" sheet="1" objects="1" scenarios="1"/>
  <mergeCells count="2">
    <mergeCell ref="E1:H1"/>
    <mergeCell ref="E2:H2"/>
  </mergeCells>
  <conditionalFormatting sqref="H5">
    <cfRule type="colorScale" priority="14">
      <colorScale>
        <cfvo type="num" val="0"/>
        <cfvo type="num" val="2"/>
        <color rgb="FFFF0000"/>
        <color rgb="FF33CC33"/>
      </colorScale>
    </cfRule>
  </conditionalFormatting>
  <conditionalFormatting sqref="H7">
    <cfRule type="colorScale" priority="13">
      <colorScale>
        <cfvo type="num" val="0"/>
        <cfvo type="num" val="7"/>
        <color rgb="FFFF0000"/>
        <color rgb="FF00B050"/>
      </colorScale>
    </cfRule>
  </conditionalFormatting>
  <conditionalFormatting sqref="H9">
    <cfRule type="colorScale" priority="12">
      <colorScale>
        <cfvo type="num" val="0"/>
        <cfvo type="num" val="7"/>
        <color rgb="FFFF0000"/>
        <color rgb="FF00B050"/>
      </colorScale>
    </cfRule>
  </conditionalFormatting>
  <conditionalFormatting sqref="H11">
    <cfRule type="colorScale" priority="11">
      <colorScale>
        <cfvo type="num" val="0"/>
        <cfvo type="num" val="4"/>
        <color rgb="FFFF0000"/>
        <color rgb="FF00B050"/>
      </colorScale>
    </cfRule>
  </conditionalFormatting>
  <conditionalFormatting sqref="H13">
    <cfRule type="colorScale" priority="10">
      <colorScale>
        <cfvo type="num" val="0"/>
        <cfvo type="num" val="4"/>
        <color rgb="FFFF0000"/>
        <color rgb="FF00B050"/>
      </colorScale>
    </cfRule>
  </conditionalFormatting>
  <conditionalFormatting sqref="H15">
    <cfRule type="colorScale" priority="9">
      <colorScale>
        <cfvo type="num" val="0"/>
        <cfvo type="num" val="2"/>
        <color rgb="FFFF0000"/>
        <color rgb="FF00B050"/>
      </colorScale>
    </cfRule>
  </conditionalFormatting>
  <conditionalFormatting sqref="G5">
    <cfRule type="colorScale" priority="8">
      <colorScale>
        <cfvo type="num" val="0"/>
        <cfvo type="num" val="5"/>
        <color rgb="FFFF0000"/>
        <color rgb="FF00B050"/>
      </colorScale>
    </cfRule>
  </conditionalFormatting>
  <conditionalFormatting sqref="G7">
    <cfRule type="colorScale" priority="7">
      <colorScale>
        <cfvo type="num" val="0"/>
        <cfvo type="num" val="30"/>
        <color rgb="FFFF0000"/>
        <color rgb="FF00B050"/>
      </colorScale>
    </cfRule>
  </conditionalFormatting>
  <conditionalFormatting sqref="G9">
    <cfRule type="colorScale" priority="6">
      <colorScale>
        <cfvo type="num" val="0"/>
        <cfvo type="num" val="24"/>
        <color rgb="FFFF0000"/>
        <color rgb="FF00B050"/>
      </colorScale>
    </cfRule>
  </conditionalFormatting>
  <conditionalFormatting sqref="G11">
    <cfRule type="colorScale" priority="5">
      <colorScale>
        <cfvo type="num" val="0"/>
        <cfvo type="num" val="19"/>
        <color rgb="FFFF0000"/>
        <color rgb="FF00B050"/>
      </colorScale>
    </cfRule>
  </conditionalFormatting>
  <conditionalFormatting sqref="G13">
    <cfRule type="colorScale" priority="4">
      <colorScale>
        <cfvo type="num" val="0"/>
        <cfvo type="num" val="9"/>
        <color rgb="FFFF0000"/>
        <color rgb="FF00B050"/>
      </colorScale>
    </cfRule>
  </conditionalFormatting>
  <conditionalFormatting sqref="G15">
    <cfRule type="colorScale" priority="3">
      <colorScale>
        <cfvo type="num" val="0"/>
        <cfvo type="num" val="5"/>
        <color rgb="FFFF0000"/>
        <color rgb="FF00B050"/>
      </colorScale>
    </cfRule>
  </conditionalFormatting>
  <pageMargins left="0.41" right="0.2" top="0.5" bottom="0.5" header="0.3" footer="0.3"/>
  <pageSetup paperSize="9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U55"/>
  <sheetViews>
    <sheetView tabSelected="1" workbookViewId="0">
      <pane xSplit="1" ySplit="5" topLeftCell="K14" activePane="bottomRight" state="frozen"/>
      <selection activeCell="C24" sqref="C24"/>
      <selection pane="topRight" activeCell="C24" sqref="C24"/>
      <selection pane="bottomLeft" activeCell="C24" sqref="C24"/>
      <selection pane="bottomRight" activeCell="C24" sqref="C24"/>
    </sheetView>
  </sheetViews>
  <sheetFormatPr baseColWidth="10" defaultColWidth="8.83203125" defaultRowHeight="14" x14ac:dyDescent="0"/>
  <cols>
    <col min="1" max="1" width="8.83203125" style="196"/>
    <col min="2" max="3" width="30.5" style="196" customWidth="1"/>
    <col min="4" max="4" width="24.33203125" style="58" hidden="1" customWidth="1"/>
    <col min="5" max="6" width="30.5" style="196" customWidth="1"/>
    <col min="7" max="7" width="24.33203125" style="196" hidden="1" customWidth="1"/>
    <col min="8" max="9" width="30.5" style="196" customWidth="1"/>
    <col min="10" max="10" width="24.33203125" style="196" hidden="1" customWidth="1"/>
    <col min="11" max="12" width="30.5" style="196" customWidth="1"/>
    <col min="13" max="13" width="24.33203125" style="196" hidden="1" customWidth="1"/>
    <col min="14" max="15" width="30.5" style="196" customWidth="1"/>
    <col min="16" max="16" width="24.33203125" style="196" hidden="1" customWidth="1"/>
    <col min="17" max="18" width="30.5" style="196" customWidth="1"/>
    <col min="19" max="19" width="24.33203125" style="196" hidden="1" customWidth="1"/>
    <col min="20" max="21" width="30.5" style="196" customWidth="1"/>
    <col min="22" max="16384" width="8.83203125" style="196"/>
  </cols>
  <sheetData>
    <row r="1" spans="1:21" ht="18">
      <c r="A1" s="195" t="s">
        <v>144</v>
      </c>
      <c r="E1" s="197" t="str">
        <f>IF(ISBLANK('Country profile'!E4:I4),"",UPPER('Country profile'!E4:I4))</f>
        <v>ETHIOPIA</v>
      </c>
      <c r="F1" s="198">
        <f>IF(ISBLANK('Country profile'!F14:I14),"",'Country profile'!F14:I14)</f>
        <v>42416</v>
      </c>
    </row>
    <row r="2" spans="1:21">
      <c r="A2" s="199" t="s">
        <v>143</v>
      </c>
    </row>
    <row r="4" spans="1:21">
      <c r="A4" s="270" t="s">
        <v>0</v>
      </c>
      <c r="B4" s="272" t="s">
        <v>111</v>
      </c>
      <c r="C4" s="273"/>
      <c r="D4" s="200"/>
      <c r="E4" s="272" t="s">
        <v>135</v>
      </c>
      <c r="F4" s="273"/>
      <c r="G4" s="201"/>
      <c r="H4" s="272" t="s">
        <v>113</v>
      </c>
      <c r="I4" s="273"/>
      <c r="J4" s="201"/>
      <c r="K4" s="272" t="s">
        <v>137</v>
      </c>
      <c r="L4" s="273"/>
      <c r="M4" s="202"/>
      <c r="N4" s="272" t="s">
        <v>136</v>
      </c>
      <c r="O4" s="273"/>
      <c r="P4" s="201"/>
      <c r="Q4" s="272" t="s">
        <v>116</v>
      </c>
      <c r="R4" s="273"/>
      <c r="S4" s="201"/>
      <c r="T4" s="272" t="s">
        <v>117</v>
      </c>
      <c r="U4" s="273"/>
    </row>
    <row r="5" spans="1:21" s="209" customFormat="1">
      <c r="A5" s="271"/>
      <c r="B5" s="203" t="s">
        <v>423</v>
      </c>
      <c r="C5" s="204" t="s">
        <v>134</v>
      </c>
      <c r="D5" s="205"/>
      <c r="E5" s="203" t="s">
        <v>423</v>
      </c>
      <c r="F5" s="204" t="s">
        <v>134</v>
      </c>
      <c r="G5" s="206"/>
      <c r="H5" s="203" t="s">
        <v>423</v>
      </c>
      <c r="I5" s="207" t="s">
        <v>134</v>
      </c>
      <c r="J5" s="206"/>
      <c r="K5" s="203" t="s">
        <v>423</v>
      </c>
      <c r="L5" s="204" t="s">
        <v>134</v>
      </c>
      <c r="M5" s="208"/>
      <c r="N5" s="203" t="s">
        <v>423</v>
      </c>
      <c r="O5" s="207" t="s">
        <v>134</v>
      </c>
      <c r="P5" s="206"/>
      <c r="Q5" s="203" t="s">
        <v>423</v>
      </c>
      <c r="R5" s="204" t="s">
        <v>134</v>
      </c>
      <c r="S5" s="206"/>
      <c r="T5" s="203" t="s">
        <v>423</v>
      </c>
      <c r="U5" s="207" t="s">
        <v>134</v>
      </c>
    </row>
    <row r="6" spans="1:21" s="49" customFormat="1" ht="56">
      <c r="A6" s="210">
        <v>0</v>
      </c>
      <c r="B6" s="110" t="str">
        <f t="array" ref="B6">IF(ROWS(B$6:B6)&lt;=$A$7,INDEX(Legislation!$C$5:$C$16,SMALL(IF(STAGE=0,IF(STATUS=0,ROW(STATUS)-ROW(Legislation!$E$5)+1)),ROWS(B$6:B6))),"")</f>
        <v/>
      </c>
      <c r="C6" s="84" t="str">
        <f t="array" ref="C6">IF(ROWS(C$6:C6)&lt;=$A$8,INDEX(Legislation!$C$5:$C$16,SMALL(IF(STAGE=0,IF(STATUS=1,ROW(STATUS)-ROW(Legislation!$E$5)+1)),ROWS(C$6:C6))),"")</f>
        <v>A case definition for animal rabies is available</v>
      </c>
      <c r="D6" s="59"/>
      <c r="E6" s="110" t="str">
        <f>IF(ROWS(E$6:E6)&lt;=$D$7,INDEX('Data coll &amp; ax'!$C$4:$C$12,SMALL(IF(datastage=0,IF(datastatus=0,ROW(datastatus)-ROW('Data coll &amp; ax'!$E$4)+1)),ROWS(E$6:E6))),"")</f>
        <v/>
      </c>
      <c r="F6" s="84" t="str">
        <f>IF(ROWS(F$6:F6)&lt;=$D$8,INDEX('Data coll &amp; ax'!$C$4:$C$12,SMALL(IF(datastage=0,IF(datastatus=1,ROW(datastatus)-ROW('Data coll &amp; ax'!$E$4)+1)),ROWS(F$6:F6))),"")</f>
        <v/>
      </c>
      <c r="G6" s="48"/>
      <c r="H6" s="115" t="str">
        <f t="array" ref="H6">IF(ROWS(H$6:H6)&lt;=$G$7,INDEX('Lab dx'!$C$4:$C$13,SMALL(IF(labstage=0,IF(labstatus=0,ROW(labstatus)-ROW('Lab dx'!$E$4)+1)),ROWS(H$6:H6))),"")</f>
        <v/>
      </c>
      <c r="I6" s="47" t="str">
        <f t="array" ref="I6">IF(ROWS(I$6:I6)&lt;=$G$8,INDEX('Lab dx'!$C$4:$C$13,SMALL(IF(labstage=0,IF(labstatus=1,ROW(labstatus)-ROW('Lab dx'!$F$4)+1)),ROWS(I$6:I6))),"")</f>
        <v xml:space="preserve">Contacts to an international rabies reference laboratory or international collaborating/reference center are established </v>
      </c>
      <c r="J6" s="48"/>
      <c r="K6" s="110" t="str">
        <f t="array" ref="K6">IF(ROWS(K$6:K6)&lt;=$J$7,INDEX(IEC!$C$4:$C$21,SMALL(IF(iecstage=0,IF(iecstatus=0,ROW(iecstatus)-ROW(IEC!$E$4)+1)),ROWS(K$6:K6))),"")</f>
        <v>Results of rabies samples are shared appropriately with local and national authorities</v>
      </c>
      <c r="L6" s="84" t="str">
        <f t="array" ref="L6">IF(ROWS(L$6:L6)&lt;=$J$8,INDEX(IEC!$C$4:$C$21,SMALL(IF(iecstage=0,IF(iecstatus=1,ROW(iecstatus)-ROW(IEC!$E$4)+1)),ROWS(L$6:L6))),"")</f>
        <v/>
      </c>
      <c r="M6" s="54"/>
      <c r="N6" s="115" t="str">
        <f t="array" ref="N6">IF(ROWS(N$6:N6)&lt;=$M$7,INDEX('Prev &amp; Ctrl'!$C$4:$C$28,SMALL(IF(prevstage=0,IF(prevstatus=0,ROW(prevstatus)-ROW('Prev &amp; Ctrl'!$E$4)+1)),ROWS(N$6:N6))),"")</f>
        <v/>
      </c>
      <c r="O6" s="47" t="str">
        <f t="array" ref="O6">IF(ROWS(O$6:O6)&lt;=$M$8,INDEX('Prev &amp; Ctrl'!$C$4:$C$28,SMALL(IF(prevstage=0,IF(prevstatus=1,ROW(prevstatus)-ROW('Prev &amp; Ctrl'!$E$4)+1)),ROWS(O$6:O6))),"")</f>
        <v/>
      </c>
      <c r="P6" s="48"/>
      <c r="Q6" s="110" t="str">
        <f t="array" ref="Q6">IF(ROWS(Q$6:Q6)&lt;=$P$7,INDEX('Dog popn'!$C$5:C7,SMALL(IF(dogstage=0,IF(dogstatus=0,ROW(dogstatus)-ROW('Dog popn'!$E$5)+1)),ROWS(Q$6:Q6))),"")</f>
        <v/>
      </c>
      <c r="R6" s="84" t="str">
        <f t="array" ref="R6">IF(ROWS(R$6:R6)&lt;=$P$8,INDEX('Dog popn'!$C$5:$C$7,SMALL(IF(dogstage=0,IF(dogstatus=1,ROW(dogstatus)-ROW('Dog popn'!$E$5)+1)),ROWS(R$6:R6))),"")</f>
        <v/>
      </c>
      <c r="S6" s="48"/>
      <c r="T6" s="115" t="str">
        <f t="array" ref="T6">IF(ROWS(T$6:T6)&lt;=$S$7,INDEX('Cross-cutting issues'!$C$4:$C$18,SMALL(IF(crossstage=0,IF(crossstatus=0,ROW(crossstatus)-ROW('Cross-cutting issues'!$E$4)+1)),ROWS(T$6:T6))),"")</f>
        <v/>
      </c>
      <c r="U6" s="47" t="str">
        <f t="array" ref="U6">IF(ROWS(U$6:U6)&lt;=$S$8,INDEX('Cross-cutting issues'!$C$4:$C$18,SMALL(IF(crossstage=0,IF(crossstatus=1,ROW(crossstatus)-ROW('Cross-cutting issues'!$E$4)+1)),ROWS(U$6:U6))),"")</f>
        <v/>
      </c>
    </row>
    <row r="7" spans="1:21" s="49" customFormat="1" ht="56">
      <c r="A7" s="211">
        <f>SUMPRODUCT((STAGE=0)*(STATUS=0))</f>
        <v>0</v>
      </c>
      <c r="B7" s="111" t="str">
        <f t="array" ref="B7">IF(ROWS(B$6:B7)&lt;=$A$7,INDEX(Legislation!$C$5:$C$16,SMALL(IF(STAGE=0,IF(STATUS=0,ROW(STATUS)-ROW(Legislation!$E$5)+1)),ROWS(B$6:B7))),"")</f>
        <v/>
      </c>
      <c r="C7" s="85" t="str">
        <f t="array" ref="C7">IF(ROWS(C$6:C7)&lt;=$A$8,INDEX(Legislation!$C$5:$C$16,SMALL(IF(STAGE=0,IF(STATUS=1,ROW(STATUS)-ROW(Legislation!$E$5)+1)),ROWS(C$6:C7))),"")</f>
        <v>A case definition for human rabies is available</v>
      </c>
      <c r="D7" s="60">
        <f>SUMPRODUCT((datastage=0)*(datastatus=0))</f>
        <v>0</v>
      </c>
      <c r="E7" s="111" t="str">
        <f>IF(ROWS(E$6:E7)&lt;=$D$7,INDEX('Data coll &amp; ax'!$C$4:$C$12,SMALL(IF(datastage=0,IF(datastatus=0,ROW(datastatus)-ROW('Data coll &amp; ax'!$E$4)+1)),ROWS(E$6:E7))),"")</f>
        <v/>
      </c>
      <c r="F7" s="85" t="str">
        <f>IF(ROWS(F$6:F7)&lt;=$D$8,INDEX('Data coll &amp; ax'!$C$4:$C$12,SMALL(IF(datastage=0,IF(datastatus=1,ROW(datastatus)-ROW('Data coll &amp; ax'!$E$4)+1)),ROWS(F$6:F7))),"")</f>
        <v/>
      </c>
      <c r="G7" s="51">
        <f>SUMPRODUCT((labstage=0)*(labstatus=0))</f>
        <v>0</v>
      </c>
      <c r="H7" s="116" t="str">
        <f t="array" ref="H7">IF(ROWS(H$6:H7)&lt;=$G$7,INDEX('Lab dx'!$C$4:$C$13,SMALL(IF(labstage=0,IF(labstatus=0,ROW(labstatus)-ROW('Lab dx'!$E$4)+1)),ROWS(H$6:H7))),"")</f>
        <v/>
      </c>
      <c r="I7" s="50" t="str">
        <f t="array" ref="I7">IF(ROWS(I$6:I7)&lt;=$G$8,INDEX('Lab dx'!$C$4:$C$13,SMALL(IF(labstage=0,IF(labstatus=1,ROW(labstatus)-ROW('Lab dx'!$F$4)+1)),ROWS(I$6:I7))),"")</f>
        <v>Several rabies suspect sample of either animals or humans is submitted to an international rabies reference laboratory for confirmation</v>
      </c>
      <c r="J7" s="51">
        <f>SUMPRODUCT((iecstage=0)*(iecstatus=0))</f>
        <v>1</v>
      </c>
      <c r="K7" s="112" t="str">
        <f t="array" ref="K7">IF(ROWS(K$6:K7)&lt;=$J$7,INDEX(IEC!$C$4:$C$21,SMALL(IF(iecstage=0,IF(iecstatus=0,ROW(iecstatus)-ROW(IEC!$E$4)+1)),ROWS(K$6:K7))),"")</f>
        <v/>
      </c>
      <c r="L7" s="85" t="str">
        <f t="array" ref="L7">IF(ROWS(L$6:L7)&lt;=$J$8,INDEX(IEC!$C$4:$C$21,SMALL(IF(iecstage=0,IF(iecstatus=1,ROW(iecstatus)-ROW(IEC!$E$4)+1)),ROWS(L$6:L7))),"")</f>
        <v/>
      </c>
      <c r="M7" s="55">
        <f>SUMPRODUCT((prevstage=0)*(prevstatus=0))</f>
        <v>0</v>
      </c>
      <c r="N7" s="116" t="str">
        <f t="array" ref="N7">IF(ROWS(N$6:N7)&lt;=$M$7,INDEX('Prev &amp; Ctrl'!$C$4:$C$28,SMALL(IF(prevstage=0,IF(prevstatus=0,ROW(prevstatus)-ROW('Prev &amp; Ctrl'!$E$4)+1)),ROWS(N$6:N7))),"")</f>
        <v/>
      </c>
      <c r="O7" s="50" t="str">
        <f t="array" ref="O7">IF(ROWS(O$6:O7)&lt;=$M$8,INDEX('Prev &amp; Ctrl'!$C$4:$C$28,SMALL(IF(prevstage=0,IF(prevstatus=1,ROW(prevstatus)-ROW('Prev &amp; Ctrl'!$E$4)+1)),ROWS(O$6:O7))),"")</f>
        <v/>
      </c>
      <c r="P7" s="51">
        <f>SUMPRODUCT((dogstage=0)*(dogstatus=0))</f>
        <v>0</v>
      </c>
      <c r="Q7" s="112" t="str">
        <f t="array" ref="Q7">IF(ROWS(Q$6:Q7)&lt;=$P$7,INDEX('Dog popn'!$C$5:C8,SMALL(IF(dogstage=0,IF(dogstatus=0,ROW(dogstatus)-ROW('Dog popn'!$E$5)+1)),ROWS(Q$6:Q7))),"")</f>
        <v/>
      </c>
      <c r="R7" s="85" t="str">
        <f t="array" ref="R7">IF(ROWS(R$6:R7)&lt;=$P$8,INDEX('Dog popn'!$C$5:$C$7,SMALL(IF(dogstage=0,IF(dogstatus=1,ROW(dogstatus)-ROW('Dog popn'!$E$5)+1)),ROWS(R$6:R7))),"")</f>
        <v/>
      </c>
      <c r="S7" s="51">
        <f>SUMPRODUCT((crossstage=0)*(crossstatus=0))</f>
        <v>0</v>
      </c>
      <c r="T7" s="116" t="str">
        <f t="array" ref="T7">IF(ROWS(T$6:T7)&lt;=$S$7,INDEX('Cross-cutting issues'!$C$4:$C$18,SMALL(IF(crossstage=0,IF(crossstatus=0,ROW(crossstatus)-ROW('Cross-cutting issues'!$E$4)+1)),ROWS(T$6:T7))),"")</f>
        <v/>
      </c>
      <c r="U7" s="50" t="str">
        <f t="array" ref="U7">IF(ROWS(U$6:U7)&lt;=$S$8,INDEX('Cross-cutting issues'!$C$4:$C$18,SMALL(IF(crossstage=0,IF(crossstatus=1,ROW(crossstatus)-ROW('Cross-cutting issues'!$E$4)+1)),ROWS(U$6:U7))),"")</f>
        <v/>
      </c>
    </row>
    <row r="8" spans="1:21" s="49" customFormat="1">
      <c r="A8" s="211">
        <f>SUMPRODUCT((STAGE=0)*(STATUS=1))</f>
        <v>2</v>
      </c>
      <c r="B8" s="112" t="str">
        <f t="array" ref="B8">IF(ROWS(B$6:B8)&lt;=$A$7,INDEX(Legislation!$C$5:$C$16,SMALL(IF(STAGE=0,IF(STATUS=0,ROW(STATUS)-ROW(Legislation!$E$5)+1)),ROWS(B$6:B8))),"")</f>
        <v/>
      </c>
      <c r="C8" s="85" t="str">
        <f t="array" ref="C8">IF(ROWS(C$6:C8)&lt;=$A$8,INDEX(Legislation!$C$5:$C$16,SMALL(IF(STAGE=0,IF(STATUS=1,ROW(STATUS)-ROW(Legislation!$E$5)+1)),ROWS(C$6:C8))),"")</f>
        <v/>
      </c>
      <c r="D8" s="60">
        <f>SUMPRODUCT((datastage=0)*(datastatus=1))</f>
        <v>0</v>
      </c>
      <c r="E8" s="112" t="str">
        <f>IF(ROWS(E$6:E8)&lt;=$D$7,INDEX('Data coll &amp; ax'!$C$4:$C$12,SMALL(IF(datastage=0,IF(datastatus=0,ROW(datastatus)-ROW('Data coll &amp; ax'!$E$4)+1)),ROWS(E$6:E8))),"")</f>
        <v/>
      </c>
      <c r="F8" s="85" t="str">
        <f>IF(ROWS(F$6:F8)&lt;=$D$8,INDEX('Data coll &amp; ax'!$C$4:$C$12,SMALL(IF(datastage=0,IF(datastatus=1,ROW(datastatus)-ROW('Data coll &amp; ax'!$E$4)+1)),ROWS(F$6:F8))),"")</f>
        <v/>
      </c>
      <c r="G8" s="51">
        <f>SUMPRODUCT((labstage=0)*(labstatus=1))</f>
        <v>2</v>
      </c>
      <c r="H8" s="116" t="str">
        <f t="array" ref="H8">IF(ROWS(H$6:H8)&lt;=$G$7,INDEX('Lab dx'!$C$4:$C$13,SMALL(IF(labstage=0,IF(labstatus=0,ROW(labstatus)-ROW('Lab dx'!$E$4)+1)),ROWS(H$6:H8))),"")</f>
        <v/>
      </c>
      <c r="I8" s="50" t="str">
        <f t="array" ref="I8">IF(ROWS(I$6:I8)&lt;=$G$8,INDEX('Lab dx'!$C$4:$C$13,SMALL(IF(labstage=0,IF(labstatus=1,ROW(labstatus)-ROW('Lab dx'!$F$4)+1)),ROWS(I$6:I8))),"")</f>
        <v/>
      </c>
      <c r="J8" s="51">
        <f>SUMPRODUCT((iecstage=0)*(iecstatus=1))</f>
        <v>0</v>
      </c>
      <c r="K8" s="112" t="str">
        <f t="array" ref="K8">IF(ROWS(K$6:K8)&lt;=$J$7,INDEX(IEC!$C$4:$C$21,SMALL(IF(iecstage=0,IF(iecstatus=0,ROW(iecstatus)-ROW(IEC!$E$4)+1)),ROWS(K$6:K8))),"")</f>
        <v/>
      </c>
      <c r="L8" s="85" t="str">
        <f t="array" ref="L8">IF(ROWS(L$6:L8)&lt;=$J$8,INDEX(IEC!$C$4:$C$21,SMALL(IF(iecstage=0,IF(iecstatus=1,ROW(iecstatus)-ROW(IEC!$E$4)+1)),ROWS(L$6:L8))),"")</f>
        <v/>
      </c>
      <c r="M8" s="55">
        <f>SUMPRODUCT((prevstage=0)*(prevstatus=1))</f>
        <v>0</v>
      </c>
      <c r="N8" s="116" t="str">
        <f t="array" ref="N8">IF(ROWS(N$6:N8)&lt;=$M$7,INDEX('Prev &amp; Ctrl'!$C$4:$C$28,SMALL(IF(prevstage=0,IF(prevstatus=0,ROW(prevstatus)-ROW('Prev &amp; Ctrl'!$E$4)+1)),ROWS(N$6:N8))),"")</f>
        <v/>
      </c>
      <c r="O8" s="50" t="str">
        <f t="array" ref="O8">IF(ROWS(O$6:O8)&lt;=$M$8,INDEX('Prev &amp; Ctrl'!$C$4:$C$28,SMALL(IF(prevstage=0,IF(prevstatus=1,ROW(prevstatus)-ROW('Prev &amp; Ctrl'!$E$4)+1)),ROWS(O$6:O8))),"")</f>
        <v/>
      </c>
      <c r="P8" s="51">
        <f>SUMPRODUCT((dogstage=0)*(dogstatus=1))</f>
        <v>0</v>
      </c>
      <c r="Q8" s="112" t="str">
        <f t="array" ref="Q8">IF(ROWS(Q$6:Q8)&lt;=$P$7,INDEX('Dog popn'!$C$5:C9,SMALL(IF(dogstage=0,IF(dogstatus=0,ROW(dogstatus)-ROW('Dog popn'!$E$5)+1)),ROWS(Q$6:Q8))),"")</f>
        <v/>
      </c>
      <c r="R8" s="85" t="str">
        <f t="array" ref="R8">IF(ROWS(R$6:R8)&lt;=$P$8,INDEX('Dog popn'!$C$5:$C$7,SMALL(IF(dogstage=0,IF(dogstatus=1,ROW(dogstatus)-ROW('Dog popn'!$E$5)+1)),ROWS(R$6:R8))),"")</f>
        <v/>
      </c>
      <c r="S8" s="51">
        <f>SUMPRODUCT((crossstage=0)*(crossstatus=1))</f>
        <v>0</v>
      </c>
      <c r="T8" s="116" t="str">
        <f t="array" ref="T8">IF(ROWS(T$6:T8)&lt;=$S$7,INDEX('Cross-cutting issues'!$C$4:$C$18,SMALL(IF(crossstage=0,IF(crossstatus=0,ROW(crossstatus)-ROW('Cross-cutting issues'!$E$4)+1)),ROWS(T$6:T8))),"")</f>
        <v/>
      </c>
      <c r="U8" s="50" t="str">
        <f t="array" ref="U8">IF(ROWS(U$6:U8)&lt;=$S$8,INDEX('Cross-cutting issues'!$C$4:$C$18,SMALL(IF(crossstage=0,IF(crossstatus=1,ROW(crossstatus)-ROW('Cross-cutting issues'!$E$4)+1)),ROWS(U$6:U8))),"")</f>
        <v/>
      </c>
    </row>
    <row r="9" spans="1:21" s="49" customFormat="1">
      <c r="A9" s="212"/>
      <c r="B9" s="112" t="str">
        <f t="array" ref="B9">IF(ROWS(B$6:B9)&lt;=$A$7,INDEX(Legislation!$C$5:$C$16,SMALL(IF(STAGE=0,IF(STATUS=0,ROW(STATUS)-ROW(Legislation!$E$5)+1)),ROWS(B$6:B9))),"")</f>
        <v/>
      </c>
      <c r="C9" s="85" t="str">
        <f t="array" ref="C9">IF(ROWS(C$6:C9)&lt;=$A$8,INDEX(Legislation!$C$5:$C$16,SMALL(IF(STAGE=0,IF(STATUS=1,ROW(STATUS)-ROW(Legislation!$E$5)+1)),ROWS(C$6:C9))),"")</f>
        <v/>
      </c>
      <c r="D9" s="60"/>
      <c r="E9" s="112" t="str">
        <f>IF(ROWS(E$6:E9)&lt;=$D$7,INDEX('Data coll &amp; ax'!$C$4:$C$12,SMALL(IF(datastage=0,IF(datastatus=0,ROW(datastatus)-ROW('Data coll &amp; ax'!$E$4)+1)),ROWS(E$6:E9))),"")</f>
        <v/>
      </c>
      <c r="F9" s="85" t="str">
        <f>IF(ROWS(F$6:F9)&lt;=$D$8,INDEX('Data coll &amp; ax'!$C$4:$C$12,SMALL(IF(datastage=0,IF(datastatus=1,ROW(datastatus)-ROW('Data coll &amp; ax'!$E$4)+1)),ROWS(F$6:F9))),"")</f>
        <v/>
      </c>
      <c r="G9" s="51"/>
      <c r="H9" s="116" t="str">
        <f t="array" ref="H9">IF(ROWS(H$6:H9)&lt;=$G$7,INDEX('Lab dx'!$C$4:$C$13,SMALL(IF(labstage=0,IF(labstatus=0,ROW(labstatus)-ROW('Lab dx'!$E$4)+1)),ROWS(H$6:H9))),"")</f>
        <v/>
      </c>
      <c r="I9" s="50" t="str">
        <f t="array" ref="I9">IF(ROWS(I$6:I9)&lt;=$G$8,INDEX('Lab dx'!$C$4:$C$13,SMALL(IF(labstage=0,IF(labstatus=1,ROW(labstatus)-ROW('Lab dx'!$F$4)+1)),ROWS(I$6:I9))),"")</f>
        <v/>
      </c>
      <c r="J9" s="51"/>
      <c r="K9" s="112" t="str">
        <f t="array" ref="K9">IF(ROWS(K$6:K9)&lt;=$J$7,INDEX(IEC!$C$4:$C$21,SMALL(IF(iecstage=0,IF(iecstatus=0,ROW(iecstatus)-ROW(IEC!$E$4)+1)),ROWS(K$6:K9))),"")</f>
        <v/>
      </c>
      <c r="L9" s="85" t="str">
        <f t="array" ref="L9">IF(ROWS(L$6:L9)&lt;=$J$8,INDEX(IEC!$C$4:$C$21,SMALL(IF(iecstage=0,IF(iecstatus=1,ROW(iecstatus)-ROW(IEC!$E$4)+1)),ROWS(L$6:L9))),"")</f>
        <v/>
      </c>
      <c r="M9" s="55"/>
      <c r="N9" s="116" t="str">
        <f t="array" ref="N9">IF(ROWS(N$6:N9)&lt;=$M$7,INDEX('Prev &amp; Ctrl'!$C$4:$C$28,SMALL(IF(prevstage=0,IF(prevstatus=0,ROW(prevstatus)-ROW('Prev &amp; Ctrl'!$E$4)+1)),ROWS(N$6:N9))),"")</f>
        <v/>
      </c>
      <c r="O9" s="50" t="str">
        <f t="array" ref="O9">IF(ROWS(O$6:O9)&lt;=$M$8,INDEX('Prev &amp; Ctrl'!$C$4:$C$28,SMALL(IF(prevstage=0,IF(prevstatus=1,ROW(prevstatus)-ROW('Prev &amp; Ctrl'!$E$4)+1)),ROWS(O$6:O9))),"")</f>
        <v/>
      </c>
      <c r="P9" s="51"/>
      <c r="Q9" s="112" t="str">
        <f t="array" ref="Q9">IF(ROWS(Q$6:Q9)&lt;=$P$7,INDEX('Dog popn'!$C$5:C10,SMALL(IF(dogstage=0,IF(dogstatus=0,ROW(dogstatus)-ROW('Dog popn'!$E$5)+1)),ROWS(Q$6:Q9))),"")</f>
        <v/>
      </c>
      <c r="R9" s="85" t="str">
        <f t="array" ref="R9">IF(ROWS(R$6:R9)&lt;=$P$8,INDEX('Dog popn'!$C$5:$C$7,SMALL(IF(dogstage=0,IF(dogstatus=1,ROW(dogstatus)-ROW('Dog popn'!$E$5)+1)),ROWS(R$6:R9))),"")</f>
        <v/>
      </c>
      <c r="S9" s="51"/>
      <c r="T9" s="116" t="str">
        <f t="array" ref="T9">IF(ROWS(T$6:T9)&lt;=$S$7,INDEX('Cross-cutting issues'!$C$4:$C$18,SMALL(IF(crossstage=0,IF(crossstatus=0,ROW(crossstatus)-ROW('Cross-cutting issues'!$E$4)+1)),ROWS(T$6:T9))),"")</f>
        <v/>
      </c>
      <c r="U9" s="50" t="str">
        <f t="array" ref="U9">IF(ROWS(U$6:U9)&lt;=$S$8,INDEX('Cross-cutting issues'!$C$4:$C$18,SMALL(IF(crossstage=0,IF(crossstatus=1,ROW(crossstatus)-ROW('Cross-cutting issues'!$E$4)+1)),ROWS(U$6:U9))),"")</f>
        <v/>
      </c>
    </row>
    <row r="10" spans="1:21" s="49" customFormat="1">
      <c r="A10" s="213"/>
      <c r="B10" s="113" t="str">
        <f t="array" ref="B10">IF(ROWS(B$6:B10)&lt;=$A$7,INDEX(Legislation!$C$5:$C$16,SMALL(IF(STAGE=0,IF(STATUS=0,ROW(STATUS)-ROW(Legislation!$E$5)+1)),ROWS(B$6:B10))),"")</f>
        <v/>
      </c>
      <c r="C10" s="86" t="str">
        <f t="array" ref="C10">IF(ROWS(C$6:C10)&lt;=$A$8,INDEX(Legislation!$C$5:$C$16,SMALL(IF(STAGE=0,IF(STATUS=1,ROW(STATUS)-ROW(Legislation!$E$5)+1)),ROWS(C$6:C10))),"")</f>
        <v/>
      </c>
      <c r="D10" s="61"/>
      <c r="E10" s="113" t="str">
        <f>IF(ROWS(E$6:E10)&lt;=$D$7,INDEX('Data coll &amp; ax'!$C$4:$C$12,SMALL(IF(datastage=0,IF(datastatus=0,ROW(datastatus)-ROW('Data coll &amp; ax'!$E$4)+1)),ROWS(E$6:E10))),"")</f>
        <v/>
      </c>
      <c r="F10" s="86" t="str">
        <f>IF(ROWS(F$6:F10)&lt;=$D$8,INDEX('Data coll &amp; ax'!$C$4:$C$12,SMALL(IF(datastage=0,IF(datastatus=1,ROW(datastatus)-ROW('Data coll &amp; ax'!$E$4)+1)),ROWS(F$6:F10))),"")</f>
        <v/>
      </c>
      <c r="G10" s="53"/>
      <c r="H10" s="117" t="str">
        <f t="array" ref="H10">IF(ROWS(H$6:H10)&lt;=$G$7,INDEX('Lab dx'!$C$4:$C$13,SMALL(IF(labstage=0,IF(labstatus=0,ROW(labstatus)-ROW('Lab dx'!$E$4)+1)),ROWS(H$6:H10))),"")</f>
        <v/>
      </c>
      <c r="I10" s="52" t="str">
        <f t="array" ref="I10">IF(ROWS(I$6:I10)&lt;=$G$8,INDEX('Lab dx'!$C$4:$C$13,SMALL(IF(labstage=0,IF(labstatus=1,ROW(labstatus)-ROW('Lab dx'!$F$4)+1)),ROWS(I$6:I10))),"")</f>
        <v/>
      </c>
      <c r="J10" s="53"/>
      <c r="K10" s="113" t="str">
        <f t="array" ref="K10">IF(ROWS(K$6:K10)&lt;=$J$7,INDEX(IEC!$C$4:$C$21,SMALL(IF(iecstage=0,IF(iecstatus=0,ROW(iecstatus)-ROW(IEC!$E$4)+1)),ROWS(K$6:K10))),"")</f>
        <v/>
      </c>
      <c r="L10" s="86" t="str">
        <f t="array" ref="L10">IF(ROWS(L$6:L10)&lt;=$J$8,INDEX(IEC!$C$4:$C$21,SMALL(IF(iecstage=0,IF(iecstatus=1,ROW(iecstatus)-ROW(IEC!$E$4)+1)),ROWS(L$6:L10))),"")</f>
        <v/>
      </c>
      <c r="M10" s="56"/>
      <c r="N10" s="117" t="str">
        <f t="array" ref="N10">IF(ROWS(N$6:N10)&lt;=$M$7,INDEX('Prev &amp; Ctrl'!$C$4:$C$28,SMALL(IF(prevstage=0,IF(prevstatus=0,ROW(prevstatus)-ROW('Prev &amp; Ctrl'!$E$4)+1)),ROWS(N$6:N10))),"")</f>
        <v/>
      </c>
      <c r="O10" s="52" t="str">
        <f t="array" ref="O10">IF(ROWS(O$6:O10)&lt;=$M$8,INDEX('Prev &amp; Ctrl'!$C$4:$C$28,SMALL(IF(prevstage=0,IF(prevstatus=1,ROW(prevstatus)-ROW('Prev &amp; Ctrl'!$E$4)+1)),ROWS(O$6:O10))),"")</f>
        <v/>
      </c>
      <c r="P10" s="53"/>
      <c r="Q10" s="113" t="str">
        <f t="array" ref="Q10">IF(ROWS(Q$6:Q10)&lt;=$P$7,INDEX('Dog popn'!$C$5:C11,SMALL(IF(dogstage=0,IF(dogstatus=0,ROW(dogstatus)-ROW('Dog popn'!$E$5)+1)),ROWS(Q$6:Q10))),"")</f>
        <v/>
      </c>
      <c r="R10" s="86" t="str">
        <f t="array" ref="R10">IF(ROWS(R$6:R10)&lt;=$P$8,INDEX('Dog popn'!$C$5:$C$7,SMALL(IF(dogstage=0,IF(dogstatus=1,ROW(dogstatus)-ROW('Dog popn'!$E$5)+1)),ROWS(R$6:R10))),"")</f>
        <v/>
      </c>
      <c r="S10" s="53"/>
      <c r="T10" s="117" t="str">
        <f t="array" ref="T10">IF(ROWS(T$6:T10)&lt;=$S$7,INDEX('Cross-cutting issues'!$C$4:$C$18,SMALL(IF(crossstage=0,IF(crossstatus=0,ROW(crossstatus)-ROW('Cross-cutting issues'!$E$4)+1)),ROWS(T$6:T10))),"")</f>
        <v/>
      </c>
      <c r="U10" s="52" t="str">
        <f t="array" ref="U10">IF(ROWS(U$6:U10)&lt;=$S$8,INDEX('Cross-cutting issues'!$C$4:$C$18,SMALL(IF(crossstage=0,IF(crossstatus=1,ROW(crossstatus)-ROW('Cross-cutting issues'!$E$4)+1)),ROWS(U$6:U10))),"")</f>
        <v/>
      </c>
    </row>
    <row r="11" spans="1:21" s="49" customFormat="1" ht="56">
      <c r="A11" s="210">
        <v>1</v>
      </c>
      <c r="B11" s="114" t="str">
        <f t="array" ref="B11">IF(ROWS(B$11:B11)&lt;=$A$12,INDEX(Legislation!$C$5:$C$16,SMALL(IF(STAGE=1,IF(STATUS=0,ROW(STATUS)-ROW(Legislation!$E$5)+1)),ROWS(B$11:B11))),"")</f>
        <v>The national animal rabies case definition has been disseminated to relevant professionals within the region</v>
      </c>
      <c r="C11" s="84" t="str">
        <f t="array" ref="C11">IF(ROWS(C$11:C11)&lt;=$A$13,INDEX(Legislation!$C$5:$C$16,SMALL(IF(STAGE=1,IF(STATUS=1,ROW(STATUS)-ROW(Legislation!$E$5)+1)),ROWS(C$11:C11))),"")</f>
        <v>The national human rabies case definition has been disseminated to relevant professionals</v>
      </c>
      <c r="D11" s="62"/>
      <c r="E11" s="221" t="str">
        <f t="array" ref="E11">IF(ROWS(E$11:E11)&lt;=$D$12,INDEX('Data coll &amp; ax'!$C$4:$C$12,SMALL(IF(datastage=1,IF(datastatus=0,ROW(datastatus)-ROW('Data coll &amp; ax'!$E$4)+1)),ROWS(E$11:E11))),"")</f>
        <v/>
      </c>
      <c r="F11" s="84" t="str">
        <f t="array" ref="F11">IF(ROWS(F$11:F11)&lt;=$D$13,INDEX('Data coll &amp; ax'!$C$4:$C$12,SMALL(IF(datastage=1,IF(datastatus=1,ROW(datastatus)-ROW('Data coll &amp; ax'!$E$4)+1)),ROWS(F$11:F11))),"")</f>
        <v>Reporting of dog rabies from local to national level and data analysis capacity at the national level has been established</v>
      </c>
      <c r="G11" s="48"/>
      <c r="H11" s="115" t="str">
        <f t="array" ref="H11">IF(ROWS(H$11:H11)&lt;=$G$12,INDEX('Lab dx'!$C$4:$C$13,SMALL(IF(labstage=1,IF(labstatus=0,ROW(labstatus)-ROW('Lab dx'!$E$4)+1)),ROWS(H$11:H11))),"")</f>
        <v/>
      </c>
      <c r="I11" s="47" t="str">
        <f t="array" ref="I11">IF(ROWS(I$11:I11)&lt;=$G$13,INDEX('Lab dx'!$C$4:$C$13,SMALL(IF(labstage=1,IF(labstatus=1,ROW(labstatus)-ROW('Lab dx'!$F$4)+1)),ROWS(I$11:I11))),"")</f>
        <v>Rabies diagnostic capacity has been established in at least one national laboratory</v>
      </c>
      <c r="J11" s="48"/>
      <c r="K11" s="221" t="str">
        <f t="array" ref="K11">IF(ROWS(K$11:K11)&lt;=$J$12,INDEX(IEC!$C$4:$C$21,SMALL(IF(iecstage=1,IF(iecstatus=0,ROW(iecstatus)-ROW(IEC!$E$4)+1)),ROWS(K$11:K11))),"")</f>
        <v>Sensitization of community leaders and authorities have been initiated</v>
      </c>
      <c r="L11" s="84" t="str">
        <f t="array" ref="L11">IF(ROWS(L$11:L11)&lt;=$J$13,INDEX(IEC!$C$4:$C$21,SMALL(IF(iecstage=1,IF(iecstatus=1,ROW(iecstatus)-ROW(IEC!$E$4)+1)),ROWS(L$11:L11))),"")</f>
        <v>Studies on Knowledge, Attitude and Practice (KAP survey) on rabies have been conducted in pilot areas</v>
      </c>
      <c r="M11" s="54"/>
      <c r="N11" s="223" t="str">
        <f t="array" ref="N11">IF(ROWS(N$11:N11)&lt;=$M$12,INDEX('Prev &amp; Ctrl'!$C$4:$C$28,SMALL(IF(prevstage=1,IF(prevstatus=0,ROW(prevstatus)-ROW('Prev &amp; Ctrl'!$E$4)+1)),ROWS(N$11:N11))),"")</f>
        <v>Dog rabies vaccines available and access has been scaled up</v>
      </c>
      <c r="O11" s="47" t="str">
        <f t="array" ref="O11">IF(ROWS(O$11:O11)&lt;=$M$13,INDEX('Prev &amp; Ctrl'!$C$4:$C$28,SMALL(IF(prevstage=1,IF(prevstatus=1,ROW(prevstatus)-ROW('Prev &amp; Ctrl'!$E$4)+1)),ROWS(O$11:O11))),"")</f>
        <v>Vaccines and biologics for human rabies prophylaxis are available in the country</v>
      </c>
      <c r="P11" s="48"/>
      <c r="Q11" s="110" t="str">
        <f t="array" ref="Q11">IF(ROWS(Q$11:Q11)&lt;=$P$12,INDEX('Dog popn'!$C$5:C12,SMALL(IF(dogstage=1,IF(dogstatus=0,ROW(dogstatus)-ROW('Dog popn'!$E$5)+1)),ROWS(Q$11:Q11))),"")</f>
        <v/>
      </c>
      <c r="R11" s="84" t="str">
        <f t="array" ref="R11">IF(ROWS(R$11:R11)&lt;=$P$13,INDEX('Dog popn'!$C$5:$C$7,SMALL(IF(dogstage=1,IF(dogstatus=1,ROW(dogstatus)-ROW('Dog popn'!$E$5)+1)),ROWS(R$11:R11))),"")</f>
        <v>Dog population studies to determine size, turn-over and accessibility have been conducted in pilot areas</v>
      </c>
      <c r="S11" s="48"/>
      <c r="T11" s="115" t="str">
        <f t="array" ref="T11">IF(ROWS(T$11:T11)&lt;=$S$12,INDEX('Cross-cutting issues'!$C$4:$C$18,SMALL(IF(crossstage=1,IF(crossstatus=0,ROW(crossstatus)-ROW('Cross-cutting issues'!$E$4)+1)),ROWS(T$11:T11))),"")</f>
        <v>Based from pilot area experience, a short term rabies action plan has been elaborated and endorsed by relevant stakeholders at national and local levels</v>
      </c>
      <c r="U11" s="47" t="str">
        <f t="array" ref="U11">IF(ROWS(U$11:U11)&lt;=$S$13,INDEX('Cross-cutting issues'!$C$4:$C$18,SMALL(IF(crossstage=1,IF(crossstatus=1,ROW(crossstatus)-ROW('Cross-cutting issues'!$E$4)+1)),ROWS(U$11:U11))),"")</f>
        <v>Identification of main national stakeholders in rabies prevention and control has been carried out</v>
      </c>
    </row>
    <row r="12" spans="1:21" s="49" customFormat="1" ht="56">
      <c r="A12" s="214">
        <f>SUMPRODUCT((STAGE=1)*(STATUS=0))</f>
        <v>2</v>
      </c>
      <c r="B12" s="114" t="str">
        <f t="array" ref="B12">IF(ROWS(B$11:B12)&lt;=$A$12,INDEX(Legislation!$C$5:$C$16,SMALL(IF(STAGE=1,IF(STATUS=0,ROW(STATUS)-ROW(Legislation!$E$5)+1)),ROWS(B$11:B12))),"")</f>
        <v>Legislation includes dog keeping and compulsory rabies vaccination</v>
      </c>
      <c r="C12" s="85" t="str">
        <f t="array" ref="C12">IF(ROWS(C$11:C12)&lt;=$A$13,INDEX(Legislation!$C$5:$C$16,SMALL(IF(STAGE=1,IF(STATUS=1,ROW(STATUS)-ROW(Legislation!$E$5)+1)),ROWS(C$11:C12))),"")</f>
        <v>There is a legal framework</v>
      </c>
      <c r="D12" s="57">
        <f>SUMPRODUCT((datastage=1)*(datastatus=0))</f>
        <v>0</v>
      </c>
      <c r="E12" s="112" t="str">
        <f t="array" ref="E12">IF(ROWS(E$11:E12)&lt;=$D$12,INDEX('Data coll &amp; ax'!$C$4:$C$12,SMALL(IF(datastage=1,IF(datastatus=0,ROW(datastatus)-ROW('Data coll &amp; ax'!$E$4)+1)),ROWS(E$11:E12))),"")</f>
        <v/>
      </c>
      <c r="F12" s="85" t="str">
        <f t="array" ref="F12">IF(ROWS(F$11:F12)&lt;=$D$13,INDEX('Data coll &amp; ax'!$C$4:$C$12,SMALL(IF(datastage=1,IF(datastatus=1,ROW(datastatus)-ROW('Data coll &amp; ax'!$E$4)+1)),ROWS(F$11:F12))),"")</f>
        <v>Reporting of human rabies from local to national level and data analysis capacity at the national level has been established</v>
      </c>
      <c r="G12" s="51">
        <f>SUMPRODUCT((labstage=1)*(labstatus=0))</f>
        <v>0</v>
      </c>
      <c r="H12" s="116" t="str">
        <f t="array" ref="H12">IF(ROWS(H$11:H12)&lt;=$G$12,INDEX('Lab dx'!$C$4:$C$13,SMALL(IF(labstage=1,IF(labstatus=0,ROW(labstatus)-ROW('Lab dx'!$E$4)+1)),ROWS(H$11:H12))),"")</f>
        <v/>
      </c>
      <c r="I12" s="50" t="str">
        <f t="array" ref="I12">IF(ROWS(I$11:I12)&lt;=$G$13,INDEX('Lab dx'!$C$4:$C$13,SMALL(IF(labstage=1,IF(labstatus=1,ROW(labstatus)-ROW('Lab dx'!$F$4)+1)),ROWS(I$11:I12))),"")</f>
        <v/>
      </c>
      <c r="J12" s="51">
        <f>SUMPRODUCT((iecstage=1)*(iecstatus=0))</f>
        <v>1</v>
      </c>
      <c r="K12" s="112" t="str">
        <f t="array" ref="K12">IF(ROWS(K$11:K12)&lt;=$J$12,INDEX(IEC!$C$4:$C$21,SMALL(IF(iecstage=1,IF(iecstatus=0,ROW(iecstatus)-ROW(IEC!$E$4)+1)),ROWS(K$11:K12))),"")</f>
        <v/>
      </c>
      <c r="L12" s="85" t="str">
        <f t="array" ref="L12">IF(ROWS(L$11:L12)&lt;=$J$13,INDEX(IEC!$C$4:$C$21,SMALL(IF(iecstage=1,IF(iecstatus=1,ROW(iecstatus)-ROW(IEC!$E$4)+1)),ROWS(L$11:L12))),"")</f>
        <v>A rabies communication plan has been developed</v>
      </c>
      <c r="M12" s="55">
        <f>SUMPRODUCT((prevstage=1)*(prevstatus=0))</f>
        <v>2</v>
      </c>
      <c r="N12" s="116" t="str">
        <f t="array" ref="N12">IF(ROWS(N$11:N12)&lt;=$M$12,INDEX('Prev &amp; Ctrl'!$C$4:$C$28,SMALL(IF(prevstage=1,IF(prevstatus=0,ROW(prevstatus)-ROW('Prev &amp; Ctrl'!$E$4)+1)),ROWS(N$11:N12))),"")</f>
        <v>Protocols for coordinated action on reported outbreaks have been elaborated</v>
      </c>
      <c r="O12" s="50" t="str">
        <f t="array" ref="O12">IF(ROWS(O$11:O12)&lt;=$M$13,INDEX('Prev &amp; Ctrl'!$C$4:$C$28,SMALL(IF(prevstage=1,IF(prevstatus=1,ROW(prevstatus)-ROW('Prev &amp; Ctrl'!$E$4)+1)),ROWS(O$11:O12))),"")</f>
        <v>Distribution of functional rabies treatment centers in the country (e.g. recording number of patients per day, number of doses currently used)</v>
      </c>
      <c r="P12" s="51">
        <f>SUMPRODUCT((dogstage=1)*(dogstatus=0))</f>
        <v>0</v>
      </c>
      <c r="Q12" s="112" t="str">
        <f t="array" ref="Q12">IF(ROWS(Q$11:Q12)&lt;=$P$12,INDEX('Dog popn'!$C$5:C13,SMALL(IF(dogstage=1,IF(dogstatus=0,ROW(dogstatus)-ROW('Dog popn'!$E$5)+1)),ROWS(Q$11:Q12))),"")</f>
        <v/>
      </c>
      <c r="R12" s="85" t="str">
        <f t="array" ref="R12">IF(ROWS(R$11:R12)&lt;=$P$13,INDEX('Dog popn'!$C$5:$C$7,SMALL(IF(dogstage=1,IF(dogstatus=1,ROW(dogstatus)-ROW('Dog popn'!$E$5)+1)),ROWS(R$11:R12))),"")</f>
        <v/>
      </c>
      <c r="S12" s="51">
        <f>SUMPRODUCT((crossstage=1)*(crossstatus=0))</f>
        <v>1</v>
      </c>
      <c r="T12" s="116" t="str">
        <f t="array" ref="T12">IF(ROWS(T$11:T12)&lt;=$S$12,INDEX('Cross-cutting issues'!$C$4:$C$18,SMALL(IF(crossstage=1,IF(crossstatus=0,ROW(crossstatus)-ROW('Cross-cutting issues'!$E$4)+1)),ROWS(T$11:T12))),"")</f>
        <v/>
      </c>
      <c r="U12" s="50" t="str">
        <f t="array" ref="U12">IF(ROWS(U$11:U12)&lt;=$S$13,INDEX('Cross-cutting issues'!$C$4:$C$18,SMALL(IF(crossstage=1,IF(crossstatus=1,ROW(crossstatus)-ROW('Cross-cutting issues'!$E$4)+1)),ROWS(U$11:U12))),"")</f>
        <v>Stakeholder consultations held</v>
      </c>
    </row>
    <row r="13" spans="1:21" s="49" customFormat="1" ht="42">
      <c r="A13" s="214">
        <f>SUMPRODUCT((STAGE=1)*(STATUS=1))</f>
        <v>5</v>
      </c>
      <c r="B13" s="114" t="str">
        <f t="array" ref="B13">IF(ROWS(B$11:B13)&lt;=$A$12,INDEX(Legislation!$C$5:$C$16,SMALL(IF(STAGE=1,IF(STATUS=0,ROW(STATUS)-ROW(Legislation!$E$5)+1)),ROWS(B$11:B13))),"")</f>
        <v/>
      </c>
      <c r="C13" s="85" t="str">
        <f t="array" ref="C13">IF(ROWS(C$11:C13)&lt;=$A$13,INDEX(Legislation!$C$5:$C$16,SMALL(IF(STAGE=1,IF(STATUS=1,ROW(STATUS)-ROW(Legislation!$E$5)+1)),ROWS(C$11:C13))),"")</f>
        <v xml:space="preserve">If there is a legal framework, the framework has been reviewed in terms of how current it is.  </v>
      </c>
      <c r="D13" s="57">
        <f>SUMPRODUCT((datastage=1)*(datastatus=1))</f>
        <v>3</v>
      </c>
      <c r="E13" s="112" t="str">
        <f t="array" ref="E13">IF(ROWS(E$11:E13)&lt;=$D$12,INDEX('Data coll &amp; ax'!$C$4:$C$12,SMALL(IF(datastage=1,IF(datastatus=0,ROW(datastatus)-ROW('Data coll &amp; ax'!$E$4)+1)),ROWS(E$11:E13))),"")</f>
        <v/>
      </c>
      <c r="F13" s="85" t="str">
        <f t="array" ref="F13">IF(ROWS(F$11:F13)&lt;=$D$13,INDEX('Data coll &amp; ax'!$C$4:$C$12,SMALL(IF(datastage=1,IF(datastatus=1,ROW(datastatus)-ROW('Data coll &amp; ax'!$E$4)+1)),ROWS(F$11:F13))),"")</f>
        <v>Rabies exposure (dog bite) reporting and documentation have been reviewed and data compiled</v>
      </c>
      <c r="G13" s="51">
        <f>SUMPRODUCT((labstage=1)*(labstatus=1))</f>
        <v>1</v>
      </c>
      <c r="H13" s="116" t="str">
        <f t="array" ref="H13">IF(ROWS(H$11:H13)&lt;=$G$12,INDEX('Lab dx'!$C$4:$C$13,SMALL(IF(labstage=1,IF(labstatus=0,ROW(labstatus)-ROW('Lab dx'!$E$4)+1)),ROWS(H$11:H13))),"")</f>
        <v/>
      </c>
      <c r="I13" s="50" t="str">
        <f t="array" ref="I13">IF(ROWS(I$11:I13)&lt;=$G$13,INDEX('Lab dx'!$C$4:$C$13,SMALL(IF(labstage=1,IF(labstatus=1,ROW(labstatus)-ROW('Lab dx'!$F$4)+1)),ROWS(I$11:I13))),"")</f>
        <v/>
      </c>
      <c r="J13" s="51">
        <f>SUMPRODUCT((iecstage=1)*(iecstatus=1))</f>
        <v>7</v>
      </c>
      <c r="K13" s="222" t="str">
        <f t="array" ref="K13">IF(ROWS(K$11:K13)&lt;=$J$12,INDEX(IEC!$C$4:$C$21,SMALL(IF(iecstage=1,IF(iecstatus=0,ROW(iecstatus)-ROW(IEC!$E$4)+1)),ROWS(K$11:K13))),"")</f>
        <v/>
      </c>
      <c r="L13" s="85" t="str">
        <f t="array" ref="L13">IF(ROWS(L$11:L13)&lt;=$J$13,INDEX(IEC!$C$4:$C$21,SMALL(IF(iecstage=1,IF(iecstatus=1,ROW(iecstatus)-ROW(IEC!$E$4)+1)),ROWS(L$11:L13))),"")</f>
        <v>Public awareness campaigns have been initiated</v>
      </c>
      <c r="M13" s="55">
        <f>SUMPRODUCT((prevstage=1)*(prevstatus=1))</f>
        <v>3</v>
      </c>
      <c r="N13" s="224" t="str">
        <f t="array" ref="N13">IF(ROWS(N$11:N13)&lt;=$M$12,INDEX('Prev &amp; Ctrl'!$C$4:$C$28,SMALL(IF(prevstage=1,IF(prevstatus=0,ROW(prevstatus)-ROW('Prev &amp; Ctrl'!$E$4)+1)),ROWS(N$11:N13))),"")</f>
        <v/>
      </c>
      <c r="O13" s="50" t="str">
        <f t="array" ref="O13">IF(ROWS(O$11:O13)&lt;=$M$13,INDEX('Prev &amp; Ctrl'!$C$4:$C$28,SMALL(IF(prevstage=1,IF(prevstatus=1,ROW(prevstatus)-ROW('Prev &amp; Ctrl'!$E$4)+1)),ROWS(O$11:O13))),"")</f>
        <v>Organization of rabies control activities (at least in pilot areas) have been conducted</v>
      </c>
      <c r="P13" s="51">
        <f>SUMPRODUCT((dogstage=1)*(dogstatus=1))</f>
        <v>1</v>
      </c>
      <c r="Q13" s="112" t="str">
        <f t="array" ref="Q13">IF(ROWS(Q$11:Q13)&lt;=$P$12,INDEX('Dog popn'!$C$5:C14,SMALL(IF(dogstage=1,IF(dogstatus=0,ROW(dogstatus)-ROW('Dog popn'!$E$5)+1)),ROWS(Q$11:Q13))),"")</f>
        <v/>
      </c>
      <c r="R13" s="85" t="str">
        <f t="array" ref="R13">IF(ROWS(R$11:R13)&lt;=$P$13,INDEX('Dog popn'!$C$5:$C$7,SMALL(IF(dogstage=1,IF(dogstatus=1,ROW(dogstatus)-ROW('Dog popn'!$E$5)+1)),ROWS(R$11:R13))),"")</f>
        <v/>
      </c>
      <c r="S13" s="51">
        <f>SUMPRODUCT((crossstage=1)*(crossstatus=1))</f>
        <v>4</v>
      </c>
      <c r="T13" s="225" t="str">
        <f t="array" ref="T13">IF(ROWS(T$11:T13)&lt;=$S$12,INDEX('Cross-cutting issues'!$C$4:$C$18,SMALL(IF(crossstage=1,IF(crossstatus=0,ROW(crossstatus)-ROW('Cross-cutting issues'!$E$4)+1)),ROWS(T$11:T13))),"")</f>
        <v/>
      </c>
      <c r="U13" s="50" t="str">
        <f t="array" ref="U13">IF(ROWS(U$11:U13)&lt;=$S$13,INDEX('Cross-cutting issues'!$C$4:$C$18,SMALL(IF(crossstage=1,IF(crossstatus=1,ROW(crossstatus)-ROW('Cross-cutting issues'!$E$4)+1)),ROWS(U$11:U13))),"")</f>
        <v>Intersectoral rabies task force, committee or working group established</v>
      </c>
    </row>
    <row r="14" spans="1:21" s="49" customFormat="1" ht="56">
      <c r="A14" s="215"/>
      <c r="B14" s="114" t="str">
        <f t="array" ref="B14">IF(ROWS(B$11:B14)&lt;=$A$12,INDEX(Legislation!$C$5:$C$16,SMALL(IF(STAGE=1,IF(STATUS=0,ROW(STATUS)-ROW(Legislation!$E$5)+1)),ROWS(B$11:B14))),"")</f>
        <v/>
      </c>
      <c r="C14" s="85" t="str">
        <f t="array" ref="C14">IF(ROWS(C$11:C14)&lt;=$A$13,INDEX(Legislation!$C$5:$C$16,SMALL(IF(STAGE=1,IF(STATUS=1,ROW(STATUS)-ROW(Legislation!$E$5)+1)),ROWS(C$11:C14))),"")</f>
        <v>Rabies is defined as a notifiable disease in humans and animals in the framework</v>
      </c>
      <c r="D14" s="57"/>
      <c r="E14" s="112" t="str">
        <f t="array" ref="E14">IF(ROWS(E$11:E14)&lt;=$D$12,INDEX('Data coll &amp; ax'!$C$4:$C$12,SMALL(IF(datastage=1,IF(datastatus=0,ROW(datastatus)-ROW('Data coll &amp; ax'!$E$4)+1)),ROWS(E$11:E14))),"")</f>
        <v/>
      </c>
      <c r="F14" s="85" t="str">
        <f t="array" ref="F14">IF(ROWS(F$11:F14)&lt;=$D$13,INDEX('Data coll &amp; ax'!$C$4:$C$12,SMALL(IF(datastage=1,IF(datastatus=1,ROW(datastatus)-ROW('Data coll &amp; ax'!$E$4)+1)),ROWS(F$11:F14))),"")</f>
        <v/>
      </c>
      <c r="G14" s="51"/>
      <c r="H14" s="116" t="str">
        <f t="array" ref="H14">IF(ROWS(H$11:H14)&lt;=$G$12,INDEX('Lab dx'!$C$4:$C$13,SMALL(IF(labstage=1,IF(labstatus=0,ROW(labstatus)-ROW('Lab dx'!$E$4)+1)),ROWS(H$11:H14))),"")</f>
        <v/>
      </c>
      <c r="I14" s="50" t="str">
        <f t="array" ref="I14">IF(ROWS(I$11:I14)&lt;=$G$13,INDEX('Lab dx'!$C$4:$C$13,SMALL(IF(labstage=1,IF(labstatus=1,ROW(labstatus)-ROW('Lab dx'!$F$4)+1)),ROWS(I$11:I14))),"")</f>
        <v/>
      </c>
      <c r="J14" s="51"/>
      <c r="K14" s="112" t="str">
        <f t="array" ref="K14">IF(ROWS(K$11:K14)&lt;=$J$12,INDEX(IEC!$C$4:$C$21,SMALL(IF(iecstage=1,IF(iecstatus=0,ROW(iecstatus)-ROW(IEC!$E$4)+1)),ROWS(K$11:K14))),"")</f>
        <v/>
      </c>
      <c r="L14" s="85" t="str">
        <f t="array" ref="L14">IF(ROWS(L$11:L14)&lt;=$J$13,INDEX(IEC!$C$4:$C$21,SMALL(IF(iecstage=1,IF(iecstatus=1,ROW(iecstatus)-ROW(IEC!$E$4)+1)),ROWS(L$11:L14))),"")</f>
        <v>Education on rabies prevention and control for communities, including dog bite prevention and management of dog bites have been explored</v>
      </c>
      <c r="M14" s="55"/>
      <c r="N14" s="116" t="str">
        <f t="array" ref="N14">IF(ROWS(N$11:N14)&lt;=$M$12,INDEX('Prev &amp; Ctrl'!$C$4:$C$28,SMALL(IF(prevstage=1,IF(prevstatus=0,ROW(prevstatus)-ROW('Prev &amp; Ctrl'!$E$4)+1)),ROWS(N$11:N14))),"")</f>
        <v/>
      </c>
      <c r="O14" s="50" t="str">
        <f t="array" ref="O14">IF(ROWS(O$11:O14)&lt;=$M$13,INDEX('Prev &amp; Ctrl'!$C$4:$C$28,SMALL(IF(prevstage=1,IF(prevstatus=1,ROW(prevstatus)-ROW('Prev &amp; Ctrl'!$E$4)+1)),ROWS(O$11:O14))),"")</f>
        <v/>
      </c>
      <c r="P14" s="51"/>
      <c r="Q14" s="112" t="str">
        <f t="array" ref="Q14">IF(ROWS(Q$11:Q14)&lt;=$P$12,INDEX('Dog popn'!$C$5:C15,SMALL(IF(dogstage=1,IF(dogstatus=0,ROW(dogstatus)-ROW('Dog popn'!$E$5)+1)),ROWS(Q$11:Q14))),"")</f>
        <v/>
      </c>
      <c r="R14" s="85" t="str">
        <f t="array" ref="R14">IF(ROWS(R$11:R14)&lt;=$P$13,INDEX('Dog popn'!$C$5:$C$7,SMALL(IF(dogstage=1,IF(dogstatus=1,ROW(dogstatus)-ROW('Dog popn'!$E$5)+1)),ROWS(R$11:R14))),"")</f>
        <v/>
      </c>
      <c r="S14" s="51"/>
      <c r="T14" s="116" t="str">
        <f t="array" ref="T14">IF(ROWS(T$11:T14)&lt;=$S$12,INDEX('Cross-cutting issues'!$C$4:$C$18,SMALL(IF(crossstage=1,IF(crossstatus=0,ROW(crossstatus)-ROW('Cross-cutting issues'!$E$4)+1)),ROWS(T$11:T14))),"")</f>
        <v/>
      </c>
      <c r="U14" s="50" t="str">
        <f t="array" ref="U14">IF(ROWS(U$11:U14)&lt;=$S$13,INDEX('Cross-cutting issues'!$C$4:$C$18,SMALL(IF(crossstage=1,IF(crossstatus=1,ROW(crossstatus)-ROW('Cross-cutting issues'!$E$4)+1)),ROWS(U$11:U14))),"")</f>
        <v>Mechanisms for mobilizing emergency funds in case of an outbreak have been identified</v>
      </c>
    </row>
    <row r="15" spans="1:21" s="49" customFormat="1" ht="28">
      <c r="A15" s="215"/>
      <c r="B15" s="114" t="str">
        <f t="array" ref="B15">IF(ROWS(B$11:B15)&lt;=$A$12,INDEX(Legislation!$C$5:$C$16,SMALL(IF(STAGE=1,IF(STATUS=0,ROW(STATUS)-ROW(Legislation!$E$5)+1)),ROWS(B$11:B15))),"")</f>
        <v/>
      </c>
      <c r="C15" s="85" t="str">
        <f t="array" ref="C15">IF(ROWS(C$11:C15)&lt;=$A$13,INDEX(Legislation!$C$5:$C$16,SMALL(IF(STAGE=1,IF(STATUS=1,ROW(STATUS)-ROW(Legislation!$E$5)+1)),ROWS(C$11:C15))),"")</f>
        <v>Legislation includes SOPs on outbreak declaration and response</v>
      </c>
      <c r="D15" s="57"/>
      <c r="E15" s="112" t="str">
        <f t="array" ref="E15">IF(ROWS(E$11:E15)&lt;=$D$12,INDEX('Data coll &amp; ax'!$C$4:$C$12,SMALL(IF(datastage=1,IF(datastatus=0,ROW(datastatus)-ROW('Data coll &amp; ax'!$E$4)+1)),ROWS(E$11:E15))),"")</f>
        <v/>
      </c>
      <c r="F15" s="85" t="str">
        <f t="array" ref="F15">IF(ROWS(F$11:F15)&lt;=$D$13,INDEX('Data coll &amp; ax'!$C$4:$C$12,SMALL(IF(datastage=1,IF(datastatus=1,ROW(datastatus)-ROW('Data coll &amp; ax'!$E$4)+1)),ROWS(F$11:F15))),"")</f>
        <v/>
      </c>
      <c r="G15" s="51"/>
      <c r="H15" s="116" t="str">
        <f t="array" ref="H15">IF(ROWS(H$11:H15)&lt;=$G$12,INDEX('Lab dx'!$C$4:$C$13,SMALL(IF(labstage=1,IF(labstatus=0,ROW(labstatus)-ROW('Lab dx'!$E$4)+1)),ROWS(H$11:H15))),"")</f>
        <v/>
      </c>
      <c r="I15" s="50" t="str">
        <f t="array" ref="I15">IF(ROWS(I$11:I15)&lt;=$G$13,INDEX('Lab dx'!$C$4:$C$13,SMALL(IF(labstage=1,IF(labstatus=1,ROW(labstatus)-ROW('Lab dx'!$F$4)+1)),ROWS(I$11:I15))),"")</f>
        <v/>
      </c>
      <c r="J15" s="51"/>
      <c r="K15" s="112" t="str">
        <f t="array" ref="K15">IF(ROWS(K$11:K15)&lt;=$J$12,INDEX(IEC!$C$4:$C$21,SMALL(IF(iecstage=1,IF(iecstatus=0,ROW(iecstatus)-ROW(IEC!$E$4)+1)),ROWS(K$11:K15))),"")</f>
        <v/>
      </c>
      <c r="L15" s="85" t="str">
        <f t="array" ref="L15">IF(ROWS(L$11:L15)&lt;=$J$13,INDEX(IEC!$C$4:$C$21,SMALL(IF(iecstage=1,IF(iecstatus=1,ROW(iecstatus)-ROW(IEC!$E$4)+1)),ROWS(L$11:L15))),"")</f>
        <v>Vaccination of domestic dogs is promoted and conducted in some areas</v>
      </c>
      <c r="M15" s="55"/>
      <c r="N15" s="116" t="str">
        <f t="array" ref="N15">IF(ROWS(N$11:N15)&lt;=$M$12,INDEX('Prev &amp; Ctrl'!$C$4:$C$28,SMALL(IF(prevstage=1,IF(prevstatus=0,ROW(prevstatus)-ROW('Prev &amp; Ctrl'!$E$4)+1)),ROWS(N$11:N15))),"")</f>
        <v/>
      </c>
      <c r="O15" s="50" t="str">
        <f t="array" ref="O15">IF(ROWS(O$11:O15)&lt;=$M$13,INDEX('Prev &amp; Ctrl'!$C$4:$C$28,SMALL(IF(prevstage=1,IF(prevstatus=1,ROW(prevstatus)-ROW('Prev &amp; Ctrl'!$E$4)+1)),ROWS(O$11:O15))),"")</f>
        <v/>
      </c>
      <c r="P15" s="51"/>
      <c r="Q15" s="112" t="str">
        <f t="array" ref="Q15">IF(ROWS(Q$11:Q15)&lt;=$P$12,INDEX('Dog popn'!$C$5:C16,SMALL(IF(dogstage=1,IF(dogstatus=0,ROW(dogstatus)-ROW('Dog popn'!$E$5)+1)),ROWS(Q$11:Q15))),"")</f>
        <v/>
      </c>
      <c r="R15" s="85" t="str">
        <f t="array" ref="R15">IF(ROWS(R$11:R15)&lt;=$P$13,INDEX('Dog popn'!$C$5:$C$7,SMALL(IF(dogstage=1,IF(dogstatus=1,ROW(dogstatus)-ROW('Dog popn'!$E$5)+1)),ROWS(R$11:R15))),"")</f>
        <v/>
      </c>
      <c r="S15" s="51"/>
      <c r="T15" s="116" t="str">
        <f t="array" ref="T15">IF(ROWS(T$11:T15)&lt;=$S$12,INDEX('Cross-cutting issues'!$C$4:$C$18,SMALL(IF(crossstage=1,IF(crossstatus=0,ROW(crossstatus)-ROW('Cross-cutting issues'!$E$4)+1)),ROWS(T$11:T15))),"")</f>
        <v/>
      </c>
      <c r="U15" s="50" t="str">
        <f t="array" ref="U15">IF(ROWS(U$11:U15)&lt;=$S$13,INDEX('Cross-cutting issues'!$C$4:$C$18,SMALL(IF(crossstage=1,IF(crossstatus=1,ROW(crossstatus)-ROW('Cross-cutting issues'!$E$4)+1)),ROWS(U$11:U15))),"")</f>
        <v/>
      </c>
    </row>
    <row r="16" spans="1:21" s="49" customFormat="1" ht="42">
      <c r="A16" s="215"/>
      <c r="B16" s="114" t="str">
        <f t="array" ref="B16">IF(ROWS(B$11:B16)&lt;=$A$12,INDEX(Legislation!$C$5:$C$16,SMALL(IF(STAGE=1,IF(STATUS=0,ROW(STATUS)-ROW(Legislation!$E$5)+1)),ROWS(B$11:B16))),"")</f>
        <v/>
      </c>
      <c r="C16" s="85" t="str">
        <f t="array" ref="C16">IF(ROWS(C$11:C16)&lt;=$A$13,INDEX(Legislation!$C$5:$C$16,SMALL(IF(STAGE=1,IF(STATUS=1,ROW(STATUS)-ROW(Legislation!$E$5)+1)),ROWS(C$11:C16))),"")</f>
        <v/>
      </c>
      <c r="D16" s="57"/>
      <c r="E16" s="112" t="str">
        <f t="array" ref="E16">IF(ROWS(E$11:E16)&lt;=$D$12,INDEX('Data coll &amp; ax'!$C$4:$C$12,SMALL(IF(datastage=1,IF(datastatus=0,ROW(datastatus)-ROW('Data coll &amp; ax'!$E$4)+1)),ROWS(E$11:E16))),"")</f>
        <v/>
      </c>
      <c r="F16" s="85" t="str">
        <f t="array" ref="F16">IF(ROWS(F$11:F16)&lt;=$D$13,INDEX('Data coll &amp; ax'!$C$4:$C$12,SMALL(IF(datastage=1,IF(datastatus=1,ROW(datastatus)-ROW('Data coll &amp; ax'!$E$4)+1)),ROWS(F$11:F16))),"")</f>
        <v/>
      </c>
      <c r="G16" s="51"/>
      <c r="H16" s="116" t="str">
        <f t="array" ref="H16">IF(ROWS(H$11:H16)&lt;=$G$12,INDEX('Lab dx'!$C$4:$C$13,SMALL(IF(labstage=1,IF(labstatus=0,ROW(labstatus)-ROW('Lab dx'!$E$4)+1)),ROWS(H$11:H16))),"")</f>
        <v/>
      </c>
      <c r="I16" s="50" t="str">
        <f t="array" ref="I16">IF(ROWS(I$11:I16)&lt;=$G$13,INDEX('Lab dx'!$C$4:$C$13,SMALL(IF(labstage=1,IF(labstatus=1,ROW(labstatus)-ROW('Lab dx'!$F$4)+1)),ROWS(I$11:I16))),"")</f>
        <v/>
      </c>
      <c r="J16" s="51"/>
      <c r="K16" s="112" t="str">
        <f t="array" ref="K16">IF(ROWS(K$11:K16)&lt;=$J$12,INDEX(IEC!$C$4:$C$21,SMALL(IF(iecstage=1,IF(iecstatus=0,ROW(iecstatus)-ROW(IEC!$E$4)+1)),ROWS(K$11:K16))),"")</f>
        <v/>
      </c>
      <c r="L16" s="85" t="str">
        <f t="array" ref="L16">IF(ROWS(L$11:L16)&lt;=$J$13,INDEX(IEC!$C$4:$C$21,SMALL(IF(iecstage=1,IF(iecstatus=1,ROW(iecstatus)-ROW(IEC!$E$4)+1)),ROWS(L$11:L16))),"")</f>
        <v>Responsible dog ownership and vaccination of both owned and ownerless dogs have been promoted</v>
      </c>
      <c r="M16" s="55"/>
      <c r="N16" s="116" t="str">
        <f t="array" ref="N16">IF(ROWS(N$11:N16)&lt;=$M$12,INDEX('Prev &amp; Ctrl'!$C$4:$C$28,SMALL(IF(prevstage=1,IF(prevstatus=0,ROW(prevstatus)-ROW('Prev &amp; Ctrl'!$E$4)+1)),ROWS(N$11:N16))),"")</f>
        <v/>
      </c>
      <c r="O16" s="50" t="str">
        <f t="array" ref="O16">IF(ROWS(O$11:O16)&lt;=$M$13,INDEX('Prev &amp; Ctrl'!$C$4:$C$28,SMALL(IF(prevstage=1,IF(prevstatus=1,ROW(prevstatus)-ROW('Prev &amp; Ctrl'!$E$4)+1)),ROWS(O$11:O16))),"")</f>
        <v/>
      </c>
      <c r="P16" s="51"/>
      <c r="Q16" s="112" t="str">
        <f t="array" ref="Q16">IF(ROWS(Q$11:Q16)&lt;=$P$12,INDEX('Dog popn'!$C$5:C17,SMALL(IF(dogstage=1,IF(dogstatus=0,ROW(dogstatus)-ROW('Dog popn'!$E$5)+1)),ROWS(Q$11:Q16))),"")</f>
        <v/>
      </c>
      <c r="R16" s="85" t="str">
        <f t="array" ref="R16">IF(ROWS(R$11:R16)&lt;=$P$13,INDEX('Dog popn'!$C$5:$C$7,SMALL(IF(dogstage=1,IF(dogstatus=1,ROW(dogstatus)-ROW('Dog popn'!$E$5)+1)),ROWS(R$11:R16))),"")</f>
        <v/>
      </c>
      <c r="S16" s="51"/>
      <c r="T16" s="116" t="str">
        <f t="array" ref="T16">IF(ROWS(T$11:T16)&lt;=$S$12,INDEX('Cross-cutting issues'!$C$4:$C$18,SMALL(IF(crossstage=1,IF(crossstatus=0,ROW(crossstatus)-ROW('Cross-cutting issues'!$E$4)+1)),ROWS(T$11:T16))),"")</f>
        <v/>
      </c>
      <c r="U16" s="50" t="str">
        <f t="array" ref="U16">IF(ROWS(U$11:U16)&lt;=$S$13,INDEX('Cross-cutting issues'!$C$4:$C$18,SMALL(IF(crossstage=1,IF(crossstatus=1,ROW(crossstatus)-ROW('Cross-cutting issues'!$E$4)+1)),ROWS(U$11:U16))),"")</f>
        <v/>
      </c>
    </row>
    <row r="17" spans="1:21" s="49" customFormat="1" ht="56">
      <c r="A17" s="215"/>
      <c r="B17" s="114" t="str">
        <f t="array" ref="B17">IF(ROWS(B$11:B17)&lt;=$A$12,INDEX(Legislation!$C$5:$C$16,SMALL(IF(STAGE=1,IF(STATUS=0,ROW(STATUS)-ROW(Legislation!$E$5)+1)),ROWS(B$11:B17))),"")</f>
        <v/>
      </c>
      <c r="C17" s="85" t="str">
        <f t="array" ref="C17">IF(ROWS(C$11:C17)&lt;=$A$13,INDEX(Legislation!$C$5:$C$16,SMALL(IF(STAGE=1,IF(STATUS=1,ROW(STATUS)-ROW(Legislation!$E$5)+1)),ROWS(C$11:C17))),"")</f>
        <v/>
      </c>
      <c r="D17" s="57"/>
      <c r="E17" s="112" t="str">
        <f t="array" ref="E17">IF(ROWS(E$11:E17)&lt;=$D$12,INDEX('Data coll &amp; ax'!$C$4:$C$12,SMALL(IF(datastage=1,IF(datastatus=0,ROW(datastatus)-ROW('Data coll &amp; ax'!$E$4)+1)),ROWS(E$11:E17))),"")</f>
        <v/>
      </c>
      <c r="F17" s="85" t="str">
        <f t="array" ref="F17">IF(ROWS(F$11:F17)&lt;=$D$13,INDEX('Data coll &amp; ax'!$C$4:$C$12,SMALL(IF(datastage=1,IF(datastatus=1,ROW(datastatus)-ROW('Data coll &amp; ax'!$E$4)+1)),ROWS(F$11:F17))),"")</f>
        <v/>
      </c>
      <c r="G17" s="51"/>
      <c r="H17" s="116" t="str">
        <f t="array" ref="H17">IF(ROWS(H$11:H17)&lt;=$G$12,INDEX('Lab dx'!$C$4:$C$13,SMALL(IF(labstage=1,IF(labstatus=0,ROW(labstatus)-ROW('Lab dx'!$E$4)+1)),ROWS(H$11:H17))),"")</f>
        <v/>
      </c>
      <c r="I17" s="50" t="str">
        <f t="array" ref="I17">IF(ROWS(I$11:I17)&lt;=$G$13,INDEX('Lab dx'!$C$4:$C$13,SMALL(IF(labstage=1,IF(labstatus=1,ROW(labstatus)-ROW('Lab dx'!$F$4)+1)),ROWS(I$11:I17))),"")</f>
        <v/>
      </c>
      <c r="J17" s="51"/>
      <c r="K17" s="112" t="str">
        <f t="array" ref="K17">IF(ROWS(K$11:K17)&lt;=$J$12,INDEX(IEC!$C$4:$C$21,SMALL(IF(iecstage=1,IF(iecstatus=0,ROW(iecstatus)-ROW(IEC!$E$4)+1)),ROWS(K$11:K17))),"")</f>
        <v/>
      </c>
      <c r="L17" s="85" t="str">
        <f t="array" ref="L17">IF(ROWS(L$11:L17)&lt;=$J$13,INDEX(IEC!$C$4:$C$21,SMALL(IF(iecstage=1,IF(iecstatus=1,ROW(iecstatus)-ROW(IEC!$E$4)+1)),ROWS(L$11:L17))),"")</f>
        <v>Plans for training of trainers, refresher courses on rabies for professionals in human and animal health have been developed</v>
      </c>
      <c r="M17" s="55"/>
      <c r="N17" s="116" t="str">
        <f t="array" ref="N17">IF(ROWS(N$11:N17)&lt;=$M$12,INDEX('Prev &amp; Ctrl'!$C$4:$C$28,SMALL(IF(prevstage=1,IF(prevstatus=0,ROW(prevstatus)-ROW('Prev &amp; Ctrl'!$E$4)+1)),ROWS(N$11:N17))),"")</f>
        <v/>
      </c>
      <c r="O17" s="50" t="str">
        <f t="array" ref="O17">IF(ROWS(O$11:O17)&lt;=$M$13,INDEX('Prev &amp; Ctrl'!$C$4:$C$28,SMALL(IF(prevstage=1,IF(prevstatus=1,ROW(prevstatus)-ROW('Prev &amp; Ctrl'!$E$4)+1)),ROWS(O$11:O17))),"")</f>
        <v/>
      </c>
      <c r="P17" s="51"/>
      <c r="Q17" s="112" t="str">
        <f t="array" ref="Q17">IF(ROWS(Q$11:Q17)&lt;=$P$12,INDEX('Dog popn'!$C$5:C18,SMALL(IF(dogstage=1,IF(dogstatus=0,ROW(dogstatus)-ROW('Dog popn'!$E$5)+1)),ROWS(Q$11:Q17))),"")</f>
        <v/>
      </c>
      <c r="R17" s="85" t="str">
        <f t="array" ref="R17">IF(ROWS(R$11:R17)&lt;=$P$13,INDEX('Dog popn'!$C$5:$C$7,SMALL(IF(dogstage=1,IF(dogstatus=1,ROW(dogstatus)-ROW('Dog popn'!$E$5)+1)),ROWS(R$11:R17))),"")</f>
        <v/>
      </c>
      <c r="S17" s="51"/>
      <c r="T17" s="116" t="str">
        <f t="array" ref="T17">IF(ROWS(T$11:T17)&lt;=$S$12,INDEX('Cross-cutting issues'!$C$4:$C$18,SMALL(IF(crossstage=1,IF(crossstatus=0,ROW(crossstatus)-ROW('Cross-cutting issues'!$E$4)+1)),ROWS(T$11:T17))),"")</f>
        <v/>
      </c>
      <c r="U17" s="50" t="str">
        <f t="array" ref="U17">IF(ROWS(U$11:U17)&lt;=$S$13,INDEX('Cross-cutting issues'!$C$4:$C$18,SMALL(IF(crossstage=1,IF(crossstatus=1,ROW(crossstatus)-ROW('Cross-cutting issues'!$E$4)+1)),ROWS(U$11:U17))),"")</f>
        <v/>
      </c>
    </row>
    <row r="18" spans="1:21" s="49" customFormat="1">
      <c r="A18" s="215"/>
      <c r="B18" s="114" t="str">
        <f t="array" ref="B18">IF(ROWS(B$11:B18)&lt;=$A$12,INDEX(Legislation!$C$5:$C$16,SMALL(IF(STAGE=1,IF(STATUS=0,ROW(STATUS)-ROW(Legislation!$E$5)+1)),ROWS(B$11:B18))),"")</f>
        <v/>
      </c>
      <c r="C18" s="85" t="str">
        <f t="array" ref="C18">IF(ROWS(C$11:C18)&lt;=$A$13,INDEX(Legislation!$C$5:$C$16,SMALL(IF(STAGE=1,IF(STATUS=1,ROW(STATUS)-ROW(Legislation!$E$5)+1)),ROWS(C$11:C18))),"")</f>
        <v/>
      </c>
      <c r="D18" s="57"/>
      <c r="E18" s="112" t="str">
        <f t="array" ref="E18">IF(ROWS(E$11:E18)&lt;=$D$12,INDEX('Data coll &amp; ax'!$C$4:$C$12,SMALL(IF(datastage=1,IF(datastatus=0,ROW(datastatus)-ROW('Data coll &amp; ax'!$E$4)+1)),ROWS(E$11:E18))),"")</f>
        <v/>
      </c>
      <c r="F18" s="85" t="str">
        <f t="array" ref="F18">IF(ROWS(F$11:F18)&lt;=$D$13,INDEX('Data coll &amp; ax'!$C$4:$C$12,SMALL(IF(datastage=1,IF(datastatus=1,ROW(datastatus)-ROW('Data coll &amp; ax'!$E$4)+1)),ROWS(F$11:F18))),"")</f>
        <v/>
      </c>
      <c r="G18" s="51"/>
      <c r="H18" s="116" t="str">
        <f t="array" ref="H18">IF(ROWS(H$11:H18)&lt;=$G$12,INDEX('Lab dx'!$C$4:$C$13,SMALL(IF(labstage=1,IF(labstatus=0,ROW(labstatus)-ROW('Lab dx'!$E$4)+1)),ROWS(H$11:H18))),"")</f>
        <v/>
      </c>
      <c r="I18" s="50" t="str">
        <f t="array" ref="I18">IF(ROWS(I$11:I18)&lt;=$G$13,INDEX('Lab dx'!$C$4:$C$13,SMALL(IF(labstage=1,IF(labstatus=1,ROW(labstatus)-ROW('Lab dx'!$F$4)+1)),ROWS(I$11:I18))),"")</f>
        <v/>
      </c>
      <c r="J18" s="51"/>
      <c r="K18" s="112" t="str">
        <f t="array" ref="K18">IF(ROWS(K$11:K18)&lt;=$J$12,INDEX(IEC!$C$4:$C$21,SMALL(IF(iecstage=1,IF(iecstatus=0,ROW(iecstatus)-ROW(IEC!$E$4)+1)),ROWS(K$11:K18))),"")</f>
        <v/>
      </c>
      <c r="L18" s="85" t="str">
        <f t="array" ref="L18">IF(ROWS(L$11:L18)&lt;=$J$13,INDEX(IEC!$C$4:$C$21,SMALL(IF(iecstage=1,IF(iecstatus=1,ROW(iecstatus)-ROW(IEC!$E$4)+1)),ROWS(L$11:L18))),"")</f>
        <v/>
      </c>
      <c r="M18" s="55"/>
      <c r="N18" s="116" t="str">
        <f t="array" ref="N18">IF(ROWS(N$11:N18)&lt;=$M$12,INDEX('Prev &amp; Ctrl'!$C$4:$C$28,SMALL(IF(prevstage=1,IF(prevstatus=0,ROW(prevstatus)-ROW('Prev &amp; Ctrl'!$E$4)+1)),ROWS(N$11:N18))),"")</f>
        <v/>
      </c>
      <c r="O18" s="50" t="str">
        <f t="array" ref="O18">IF(ROWS(O$11:O18)&lt;=$M$13,INDEX('Prev &amp; Ctrl'!$C$4:$C$28,SMALL(IF(prevstage=1,IF(prevstatus=1,ROW(prevstatus)-ROW('Prev &amp; Ctrl'!$E$4)+1)),ROWS(O$11:O18))),"")</f>
        <v/>
      </c>
      <c r="P18" s="51"/>
      <c r="Q18" s="112" t="str">
        <f t="array" ref="Q18">IF(ROWS(Q$11:Q18)&lt;=$P$12,INDEX('Dog popn'!$C$5:C19,SMALL(IF(dogstage=1,IF(dogstatus=0,ROW(dogstatus)-ROW('Dog popn'!$E$5)+1)),ROWS(Q$11:Q18))),"")</f>
        <v/>
      </c>
      <c r="R18" s="85" t="str">
        <f t="array" ref="R18">IF(ROWS(R$11:R18)&lt;=$P$13,INDEX('Dog popn'!$C$5:$C$7,SMALL(IF(dogstage=1,IF(dogstatus=1,ROW(dogstatus)-ROW('Dog popn'!$E$5)+1)),ROWS(R$11:R18))),"")</f>
        <v/>
      </c>
      <c r="S18" s="51"/>
      <c r="T18" s="116" t="str">
        <f t="array" ref="T18">IF(ROWS(T$11:T18)&lt;=$S$12,INDEX('Cross-cutting issues'!$C$4:$C$18,SMALL(IF(crossstage=1,IF(crossstatus=0,ROW(crossstatus)-ROW('Cross-cutting issues'!$E$4)+1)),ROWS(T$11:T18))),"")</f>
        <v/>
      </c>
      <c r="U18" s="50" t="str">
        <f t="array" ref="U18">IF(ROWS(U$11:U18)&lt;=$S$13,INDEX('Cross-cutting issues'!$C$4:$C$18,SMALL(IF(crossstage=1,IF(crossstatus=1,ROW(crossstatus)-ROW('Cross-cutting issues'!$E$4)+1)),ROWS(U$11:U18))),"")</f>
        <v/>
      </c>
    </row>
    <row r="19" spans="1:21" s="49" customFormat="1">
      <c r="A19" s="216"/>
      <c r="B19" s="114" t="str">
        <f t="array" ref="B19">IF(ROWS(B$11:B19)&lt;=$A$12,INDEX(Legislation!$C$5:$C$16,SMALL(IF(STAGE=1,IF(STATUS=0,ROW(STATUS)-ROW(Legislation!$E$5)+1)),ROWS(B$11:B19))),"")</f>
        <v/>
      </c>
      <c r="C19" s="86" t="str">
        <f t="array" ref="C19">IF(ROWS(C$11:C19)&lt;=$A$13,INDEX(Legislation!$C$5:$C$16,SMALL(IF(STAGE=1,IF(STATUS=1,ROW(STATUS)-ROW(Legislation!$E$5)+1)),ROWS(C$11:C19))),"")</f>
        <v/>
      </c>
      <c r="D19" s="63"/>
      <c r="E19" s="112" t="str">
        <f t="array" ref="E19">IF(ROWS(E$11:E19)&lt;=$D$12,INDEX('Data coll &amp; ax'!$C$4:$C$12,SMALL(IF(datastage=1,IF(datastatus=0,ROW(datastatus)-ROW('Data coll &amp; ax'!$E$4)+1)),ROWS(E$11:E19))),"")</f>
        <v/>
      </c>
      <c r="F19" s="86" t="str">
        <f t="array" ref="F19">IF(ROWS(F$11:F19)&lt;=$D$13,INDEX('Data coll &amp; ax'!$C$4:$C$12,SMALL(IF(datastage=1,IF(datastatus=1,ROW(datastatus)-ROW('Data coll &amp; ax'!$E$4)+1)),ROWS(F$11:F19))),"")</f>
        <v/>
      </c>
      <c r="G19" s="53"/>
      <c r="H19" s="117" t="str">
        <f t="array" ref="H19">IF(ROWS(H$11:H19)&lt;=$G$12,INDEX('Lab dx'!$C$4:$C$13,SMALL(IF(labstage=1,IF(labstatus=0,ROW(labstatus)-ROW('Lab dx'!$E$4)+1)),ROWS(H$11:H19))),"")</f>
        <v/>
      </c>
      <c r="I19" s="52" t="str">
        <f t="array" ref="I19">IF(ROWS(I$11:I19)&lt;=$G$13,INDEX('Lab dx'!$C$4:$C$13,SMALL(IF(labstage=1,IF(labstatus=1,ROW(labstatus)-ROW('Lab dx'!$F$4)+1)),ROWS(I$11:I19))),"")</f>
        <v/>
      </c>
      <c r="J19" s="53"/>
      <c r="K19" s="113" t="str">
        <f t="array" ref="K19">IF(ROWS(K$11:K19)&lt;=$J$12,INDEX(IEC!$C$4:$C$21,SMALL(IF(iecstage=1,IF(iecstatus=0,ROW(iecstatus)-ROW(IEC!$E$4)+1)),ROWS(K$11:K19))),"")</f>
        <v/>
      </c>
      <c r="L19" s="86" t="str">
        <f t="array" ref="L19">IF(ROWS(L$11:L19)&lt;=$J$13,INDEX(IEC!$C$4:$C$21,SMALL(IF(iecstage=1,IF(iecstatus=1,ROW(iecstatus)-ROW(IEC!$E$4)+1)),ROWS(L$11:L19))),"")</f>
        <v/>
      </c>
      <c r="M19" s="56"/>
      <c r="N19" s="117" t="str">
        <f t="array" ref="N19">IF(ROWS(N$11:N19)&lt;=$M$12,INDEX('Prev &amp; Ctrl'!$C$4:$C$28,SMALL(IF(prevstage=1,IF(prevstatus=0,ROW(prevstatus)-ROW('Prev &amp; Ctrl'!$E$4)+1)),ROWS(N$11:N19))),"")</f>
        <v/>
      </c>
      <c r="O19" s="52" t="str">
        <f t="array" ref="O19">IF(ROWS(O$11:O19)&lt;=$M$13,INDEX('Prev &amp; Ctrl'!$C$4:$C$28,SMALL(IF(prevstage=1,IF(prevstatus=1,ROW(prevstatus)-ROW('Prev &amp; Ctrl'!$E$4)+1)),ROWS(O$11:O19))),"")</f>
        <v/>
      </c>
      <c r="P19" s="53"/>
      <c r="Q19" s="113" t="str">
        <f t="array" ref="Q19">IF(ROWS(Q$11:Q19)&lt;=$P$12,INDEX('Dog popn'!$C$5:C20,SMALL(IF(dogstage=1,IF(dogstatus=0,ROW(dogstatus)-ROW('Dog popn'!$E$5)+1)),ROWS(Q$11:Q19))),"")</f>
        <v/>
      </c>
      <c r="R19" s="86" t="str">
        <f t="array" ref="R19">IF(ROWS(R$11:R19)&lt;=$P$13,INDEX('Dog popn'!$C$5:$C$7,SMALL(IF(dogstage=1,IF(dogstatus=1,ROW(dogstatus)-ROW('Dog popn'!$E$5)+1)),ROWS(R$11:R19))),"")</f>
        <v/>
      </c>
      <c r="S19" s="53"/>
      <c r="T19" s="117" t="str">
        <f t="array" ref="T19">IF(ROWS(T$11:T19)&lt;=$S$12,INDEX('Cross-cutting issues'!$C$4:$C$18,SMALL(IF(crossstage=1,IF(crossstatus=0,ROW(crossstatus)-ROW('Cross-cutting issues'!$E$4)+1)),ROWS(T$11:T19))),"")</f>
        <v/>
      </c>
      <c r="U19" s="52" t="str">
        <f t="array" ref="U19">IF(ROWS(U$11:U19)&lt;=$S$13,INDEX('Cross-cutting issues'!$C$4:$C$18,SMALL(IF(crossstage=1,IF(crossstatus=1,ROW(crossstatus)-ROW('Cross-cutting issues'!$E$4)+1)),ROWS(U$11:U19))),"")</f>
        <v/>
      </c>
    </row>
    <row r="20" spans="1:21" s="49" customFormat="1" ht="56">
      <c r="A20" s="210">
        <v>2</v>
      </c>
      <c r="B20" s="110" t="str">
        <f t="array" ref="B20">IF(ROWS(B$20:B20)&lt;=$A$21,INDEX(Legislation!$C$5:$C$16,SMALL(IF(STAGE=2,IF(STATUS=0,ROW(STATUS)-ROW(Legislation!$E$5)+1)),ROWS(B$20:B20))),"")</f>
        <v>The animal rabies case definition has been reviewed and was endorsed (intersectoral approach)</v>
      </c>
      <c r="C20" s="84" t="str">
        <f t="array" ref="C20">IF(ROWS(C$20:C20)&lt;=$A$22,INDEX(Legislation!$C$5:$C$16,SMALL(IF(STAGE=2,IF(STATUS=1,ROW(STATUS)-ROW(Legislation!$E$5)+1)),ROWS(C$20:C20))),"")</f>
        <v>The human rabies case definition has been reviewed and was endorsed (intersectoral approach)</v>
      </c>
      <c r="D20" s="59"/>
      <c r="E20" s="110" t="str">
        <f t="array" ref="E20">IF(ROWS(E$20:E20)&lt;=$D$21,INDEX('Data coll &amp; ax'!$C$4:$C$12,SMALL(IF(datastage=2,IF(datastatus=0,ROW(datastatus)-ROW('Data coll &amp; ax'!$E$4)+1)),ROWS(E$20:E20))),"")</f>
        <v>Coordinated rabies surveillance systems covering the entire country have been established, including agreed SOPs</v>
      </c>
      <c r="F20" s="84" t="str">
        <f t="array" ref="F20">IF(ROWS(F$20:F20)&lt;=$D$22,INDEX('Data coll &amp; ax'!$C$4:$C$12,SMALL(IF(datastage=2,IF(datastatus=1,ROW(datastatus)-ROW('Data coll &amp; ax'!$E$4)+1)),ROWS(F$20:F20))),"")</f>
        <v/>
      </c>
      <c r="G20" s="48"/>
      <c r="H20" s="115" t="str">
        <f t="array" ref="H20">IF(ROWS(H$20:H20)&lt;=$G$21,INDEX('Lab dx'!$C$4:$C$13,SMALL(IF(labstage=2,IF(labstatus=0,ROW(labstatus)-ROW('Lab dx'!$E$4)+1)),ROWS(H$20:H20))),"")</f>
        <v>Mechanisms and capacity for sample collection and transport have been established</v>
      </c>
      <c r="I20" s="47" t="str">
        <f t="array" ref="I20">IF(ROWS(I$20:I20)&lt;=$G$22,INDEX('Lab dx'!$C$4:$C$13,SMALL(IF(labstage=2,IF(labstatus=1,ROW(labstatus)-ROW('Lab dx'!$F$4)+1)),ROWS(I$20:I20))),"")</f>
        <v>Capacity for confirmatory rabies diagnosis in at least one laboratory of the country has been established</v>
      </c>
      <c r="J20" s="48"/>
      <c r="K20" s="110" t="str">
        <f t="array" ref="K20">IF(ROWS(K$20:K20)&lt;=$J$21,INDEX(IEC!$C$4:$C$21,SMALL(IF(iecstage=2,IF(iecstatus=0,ROW(iecstatus)-ROW(IEC!$E$4)+1)),ROWS(K$20:K20))),"")</f>
        <v>A reporting and feedback mechanism between all stakeholders (both local and national, human and animal health offices) has been established</v>
      </c>
      <c r="L20" s="84" t="str">
        <f t="array" ref="L20">IF(ROWS(L$20:L20)&lt;=$J$22,INDEX(IEC!$C$4:$C$21,SMALL(IF(iecstage=2,IF(iecstatus=1,ROW(iecstatus)-ROW(IEC!$E$4)+1)),ROWS(L$20:L20))),"")</f>
        <v>Public awareness campaigns are directed and adapted to specific target groups</v>
      </c>
      <c r="M20" s="54"/>
      <c r="N20" s="115" t="str">
        <f t="array" ref="N20">IF(ROWS(N$20:N20)&lt;=$M$21,INDEX('Prev &amp; Ctrl'!$C$4:$C$28,SMALL(IF(prevstage=2,IF(prevstatus=0,ROW(prevstatus)-ROW('Prev &amp; Ctrl'!$E$4)+1)),ROWS(N$20:N20))),"")</f>
        <v>Human biologics have been made available and accessible to most parts of the country</v>
      </c>
      <c r="O20" s="47" t="str">
        <f t="array" ref="O20">IF(ROWS(O$20:O20)&lt;=$M$22,INDEX('Prev &amp; Ctrl'!$C$4:$C$28,SMALL(IF(prevstage=2,IF(prevstatus=1,ROW(prevstatus)-ROW('Prev &amp; Ctrl'!$E$4)+1)),ROWS(O$20:O20))),"")</f>
        <v>Only quality dog vaccines in accordance with OIE standards are being used</v>
      </c>
      <c r="P20" s="48"/>
      <c r="Q20" s="110" t="str">
        <f t="array" ref="Q20">IF(ROWS(Q$20:Q20)&lt;=$P$21,INDEX('Dog popn'!$C$5:C21,SMALL(IF(dogstage=2,IF(dogstatus=0,ROW(dogstatus)-ROW('Dog popn'!$E$5)+1)),ROWS(Q$20:Q20))),"")</f>
        <v/>
      </c>
      <c r="R20" s="84" t="str">
        <f t="array" ref="R20">IF(ROWS(R$20:R20)&lt;=$P$21,INDEX('Dog popn'!$C$5:$C$7,SMALL(IF(dogstage=2,IF(dogstatus=1,ROW(dogstatus)-ROW('Dog popn'!$E$5)+1)),ROWS(R$20:R20))),"")</f>
        <v/>
      </c>
      <c r="S20" s="48"/>
      <c r="T20" s="115" t="str">
        <f t="array" ref="T20">IF(ROWS(T$20:T20)&lt;=$S$21,INDEX('Cross-cutting issues'!$C$4:$C$18,SMALL(IF(crossstage=2,IF(crossstatus=0,ROW(crossstatus)-ROW('Cross-cutting issues'!$E$4)+1)),ROWS(T$20:T20))),"")</f>
        <v>Mechanisms for regular intersectoral collaboration are in place and implemented</v>
      </c>
      <c r="U20" s="47" t="str">
        <f t="array" ref="U20">IF(ROWS(U$20:U20)&lt;=$S$22,INDEX('Cross-cutting issues'!$C$4:$C$18,SMALL(IF(crossstage=2,IF(crossstatus=1,ROW(crossstatus)-ROW('Cross-cutting issues'!$E$4)+1)),ROWS(U$20:U20))),"")</f>
        <v/>
      </c>
    </row>
    <row r="21" spans="1:21" s="49" customFormat="1" ht="70">
      <c r="A21" s="214">
        <f>SUMPRODUCT((STAGE=2)*(STATUS=0))</f>
        <v>1</v>
      </c>
      <c r="B21" s="112" t="str">
        <f t="array" ref="B21">IF(ROWS(B$20:B21)&lt;=$A$21,INDEX(Legislation!$C$5:$C$16,SMALL(IF(STAGE=2,IF(STATUS=0,ROW(STATUS)-ROW(Legislation!$E$5)+1)),ROWS(B$20:B21))),"")</f>
        <v/>
      </c>
      <c r="C21" s="85" t="str">
        <f t="array" ref="C21">IF(ROWS(C$20:C21)&lt;=$A$22,INDEX(Legislation!$C$5:$C$16,SMALL(IF(STAGE=2,IF(STATUS=1,ROW(STATUS)-ROW(Legislation!$E$5)+1)),ROWS(C$20:C21))),"")</f>
        <v>Legal frameworks are in the process of being updated to include specifications on international movements of animals, preferably also compulsory vaccination of dogs</v>
      </c>
      <c r="D21" s="60">
        <f>SUMPRODUCT((datastage=2)*(datastatus=0))</f>
        <v>3</v>
      </c>
      <c r="E21" s="112" t="str">
        <f t="array" ref="E21">IF(ROWS(E$20:E21)&lt;=$D$21,INDEX('Data coll &amp; ax'!$C$4:$C$12,SMALL(IF(datastage=2,IF(datastatus=0,ROW(datastatus)-ROW('Data coll &amp; ax'!$E$4)+1)),ROWS(E$20:E21))),"")</f>
        <v>A reporting and feedback mechanism between all stakeholders (including local and national, human and animal health offices) has been established</v>
      </c>
      <c r="F21" s="85" t="str">
        <f t="array" ref="F21">IF(ROWS(F$20:F21)&lt;=$D$22,INDEX('Data coll &amp; ax'!$C$4:$C$12,SMALL(IF(datastage=2,IF(datastatus=1,ROW(datastatus)-ROW('Data coll &amp; ax'!$E$4)+1)),ROWS(F$20:F21))),"")</f>
        <v/>
      </c>
      <c r="G21" s="51">
        <f>SUMPRODUCT((labstage=2)*(labstatus=0))</f>
        <v>1</v>
      </c>
      <c r="H21" s="116" t="str">
        <f t="array" ref="H21">IF(ROWS(H$20:H21)&lt;=$G$21,INDEX('Lab dx'!$C$4:$C$13,SMALL(IF(labstage=2,IF(labstatus=0,ROW(labstatus)-ROW('Lab dx'!$E$4)+1)),ROWS(H$20:H21))),"")</f>
        <v/>
      </c>
      <c r="I21" s="50" t="str">
        <f t="array" ref="I21">IF(ROWS(I$20:I21)&lt;=$G$22,INDEX('Lab dx'!$C$4:$C$13,SMALL(IF(labstage=2,IF(labstatus=1,ROW(labstatus)-ROW('Lab dx'!$F$4)+1)),ROWS(I$20:I21))),"")</f>
        <v>At least 200 samples from suspected cases in dogs in the country are tested annually</v>
      </c>
      <c r="J21" s="51">
        <f>SUMPRODUCT((iecstage=2)*(iecstatus=0))</f>
        <v>3</v>
      </c>
      <c r="K21" s="112" t="str">
        <f t="array" ref="K21">IF(ROWS(K$20:K21)&lt;=$J$21,INDEX(IEC!$C$4:$C$21,SMALL(IF(iecstage=2,IF(iecstatus=0,ROW(iecstatus)-ROW(IEC!$E$4)+1)),ROWS(K$20:K21))),"")</f>
        <v>Rabies communication plan updated (e.g. Campaigns to promote responsible dog ownership have been expanded to more areas)</v>
      </c>
      <c r="L21" s="85" t="str">
        <f t="array" ref="L21">IF(ROWS(L$20:L21)&lt;=$J$22,INDEX(IEC!$C$4:$C$21,SMALL(IF(iecstage=2,IF(iecstatus=1,ROW(iecstatus)-ROW(IEC!$E$4)+1)),ROWS(L$20:L21))),"")</f>
        <v/>
      </c>
      <c r="M21" s="55">
        <f>SUMPRODUCT((prevstage=2)*(prevstatus=0))</f>
        <v>4</v>
      </c>
      <c r="N21" s="116" t="str">
        <f t="array" ref="N21">IF(ROWS(N$20:N21)&lt;=$M$21,INDEX('Prev &amp; Ctrl'!$C$4:$C$28,SMALL(IF(prevstage=2,IF(prevstatus=0,ROW(prevstatus)-ROW('Prev &amp; Ctrl'!$E$4)+1)),ROWS(N$20:N21))),"")</f>
        <v>Nerve tissue vaccine is being phased out</v>
      </c>
      <c r="O21" s="50" t="str">
        <f t="array" ref="O21">IF(ROWS(O$20:O21)&lt;=$M$22,INDEX('Prev &amp; Ctrl'!$C$4:$C$28,SMALL(IF(prevstage=2,IF(prevstatus=1,ROW(prevstatus)-ROW('Prev &amp; Ctrl'!$E$4)+1)),ROWS(O$20:O21))),"")</f>
        <v>SOPs for the observation of dogs involved in biting incidents available</v>
      </c>
      <c r="P21" s="51">
        <f>SUMPRODUCT((dogstage=2)*(dogstatus=0))</f>
        <v>0</v>
      </c>
      <c r="Q21" s="112" t="str">
        <f t="array" ref="Q21">IF(ROWS(Q$20:Q21)&lt;=$P$21,INDEX('Dog popn'!$C$5:C22,SMALL(IF(dogstage=2,IF(dogstatus=0,ROW(dogstatus)-ROW('Dog popn'!$E$5)+1)),ROWS(Q$20:Q21))),"")</f>
        <v/>
      </c>
      <c r="R21" s="85" t="str">
        <f t="array" ref="R21">IF(ROWS(R$20:R21)&lt;=$P$21,INDEX('Dog popn'!$C$5:$C$7,SMALL(IF(dogstage=2,IF(dogstatus=1,ROW(dogstatus)-ROW('Dog popn'!$E$5)+1)),ROWS(R$20:R21))),"")</f>
        <v/>
      </c>
      <c r="S21" s="51">
        <f>SUMPRODUCT((crossstage=2)*(crossstatus=0))</f>
        <v>4</v>
      </c>
      <c r="T21" s="116" t="str">
        <f t="array" ref="T21">IF(ROWS(T$20:T21)&lt;=$S$21,INDEX('Cross-cutting issues'!$C$4:$C$18,SMALL(IF(crossstage=2,IF(crossstatus=0,ROW(crossstatus)-ROW('Cross-cutting issues'!$E$4)+1)),ROWS(T$20:T21))),"")</f>
        <v>Role of private sector has been explained more in detail.</v>
      </c>
      <c r="U21" s="50" t="str">
        <f t="array" ref="U21">IF(ROWS(U$20:U21)&lt;=$S$22,INDEX('Cross-cutting issues'!$C$4:$C$18,SMALL(IF(crossstage=2,IF(crossstatus=1,ROW(crossstatus)-ROW('Cross-cutting issues'!$E$4)+1)),ROWS(U$20:U21))),"")</f>
        <v/>
      </c>
    </row>
    <row r="22" spans="1:21" s="49" customFormat="1" ht="56">
      <c r="A22" s="214">
        <f>SUMPRODUCT((STAGE=2)*(STATUS=1))</f>
        <v>2</v>
      </c>
      <c r="B22" s="112" t="str">
        <f t="array" ref="B22">IF(ROWS(B$20:B22)&lt;=$A$21,INDEX(Legislation!$C$5:$C$16,SMALL(IF(STAGE=2,IF(STATUS=0,ROW(STATUS)-ROW(Legislation!$E$5)+1)),ROWS(B$20:B22))),"")</f>
        <v/>
      </c>
      <c r="C22" s="85" t="str">
        <f t="array" ref="C22">IF(ROWS(C$20:C22)&lt;=$A$22,INDEX(Legislation!$C$5:$C$16,SMALL(IF(STAGE=2,IF(STATUS=1,ROW(STATUS)-ROW(Legislation!$E$5)+1)),ROWS(C$20:C22))),"")</f>
        <v/>
      </c>
      <c r="D22" s="60">
        <f>SUMPRODUCT((datastage=2)*(datastatus=1))</f>
        <v>0</v>
      </c>
      <c r="E22" s="112" t="str">
        <f t="array" ref="E22">IF(ROWS(E$20:E22)&lt;=$D$21,INDEX('Data coll &amp; ax'!$C$4:$C$12,SMALL(IF(datastage=2,IF(datastatus=0,ROW(datastatus)-ROW('Data coll &amp; ax'!$E$4)+1)),ROWS(E$20:E22))),"")</f>
        <v>Collection of health economic data on rabies control, availability of some local or national health economic data to make the case for rabies control investment</v>
      </c>
      <c r="F22" s="85" t="str">
        <f t="array" ref="F22">IF(ROWS(F$20:F22)&lt;=$D$22,INDEX('Data coll &amp; ax'!$C$4:$C$12,SMALL(IF(datastage=2,IF(datastatus=1,ROW(datastatus)-ROW('Data coll &amp; ax'!$E$4)+1)),ROWS(F$20:F22))),"")</f>
        <v/>
      </c>
      <c r="G22" s="51">
        <f>SUMPRODUCT((labstage=2)*(labstatus=1))</f>
        <v>3</v>
      </c>
      <c r="H22" s="116" t="str">
        <f t="array" ref="H22">IF(ROWS(H$20:H22)&lt;=$G$21,INDEX('Lab dx'!$C$4:$C$13,SMALL(IF(labstage=2,IF(labstatus=0,ROW(labstatus)-ROW('Lab dx'!$E$4)+1)),ROWS(H$20:H22))),"")</f>
        <v/>
      </c>
      <c r="I22" s="50" t="str">
        <f t="array" ref="I22">IF(ROWS(I$20:I22)&lt;=$G$22,INDEX('Lab dx'!$C$4:$C$13,SMALL(IF(labstage=2,IF(labstatus=1,ROW(labstatus)-ROW('Lab dx'!$F$4)+1)),ROWS(I$20:I22))),"")</f>
        <v>At least 50 samples from suspected cases in other susceptible domestic and wild animal species in the country are tested annually</v>
      </c>
      <c r="J22" s="51">
        <f>SUMPRODUCT((iecstage=2)*(iecstatus=1))</f>
        <v>1</v>
      </c>
      <c r="K22" s="112" t="str">
        <f t="array" ref="K22">IF(ROWS(K$20:K22)&lt;=$J$21,INDEX(IEC!$C$4:$C$21,SMALL(IF(iecstage=2,IF(iecstatus=0,ROW(iecstatus)-ROW(IEC!$E$4)+1)),ROWS(K$20:K22))),"")</f>
        <v>Training of medical and veterinary personnel has been continued</v>
      </c>
      <c r="L22" s="85" t="str">
        <f t="array" ref="L22">IF(ROWS(L$20:L22)&lt;=$J$22,INDEX(IEC!$C$4:$C$21,SMALL(IF(iecstage=2,IF(iecstatus=1,ROW(iecstatus)-ROW(IEC!$E$4)+1)),ROWS(L$20:L22))),"")</f>
        <v/>
      </c>
      <c r="M22" s="55">
        <f>SUMPRODUCT((prevstage=2)*(prevstatus=1))</f>
        <v>2</v>
      </c>
      <c r="N22" s="116" t="str">
        <f t="array" ref="N22">IF(ROWS(N$20:N22)&lt;=$M$21,INDEX('Prev &amp; Ctrl'!$C$4:$C$28,SMALL(IF(prevstage=2,IF(prevstatus=0,ROW(prevstatus)-ROW('Prev &amp; Ctrl'!$E$4)+1)),ROWS(N$20:N22))),"")</f>
        <v>Dog vaccination campaigns are regularly implemented in response to human cases and animal outbreaks</v>
      </c>
      <c r="O22" s="50" t="str">
        <f t="array" ref="O22">IF(ROWS(O$20:O22)&lt;=$M$22,INDEX('Prev &amp; Ctrl'!$C$4:$C$28,SMALL(IF(prevstage=2,IF(prevstatus=1,ROW(prevstatus)-ROW('Prev &amp; Ctrl'!$E$4)+1)),ROWS(O$20:O22))),"")</f>
        <v/>
      </c>
      <c r="P22" s="51">
        <f>SUMPRODUCT((dogstage=2)*(dogstatus=1))</f>
        <v>0</v>
      </c>
      <c r="Q22" s="112" t="str">
        <f t="array" ref="Q22">IF(ROWS(Q$20:Q22)&lt;=$P$21,INDEX('Dog popn'!$C$5:C23,SMALL(IF(dogstage=2,IF(dogstatus=0,ROW(dogstatus)-ROW('Dog popn'!$E$5)+1)),ROWS(Q$20:Q22))),"")</f>
        <v/>
      </c>
      <c r="R22" s="85" t="str">
        <f t="array" ref="R22">IF(ROWS(R$20:R22)&lt;=$P$21,INDEX('Dog popn'!$C$5:$C$7,SMALL(IF(dogstage=2,IF(dogstatus=1,ROW(dogstatus)-ROW('Dog popn'!$E$5)+1)),ROWS(R$20:R22))),"")</f>
        <v/>
      </c>
      <c r="S22" s="51">
        <f>SUMPRODUCT((crossstage=2)*(crossstatus=1))</f>
        <v>0</v>
      </c>
      <c r="T22" s="116" t="str">
        <f t="array" ref="T22">IF(ROWS(T$20:T22)&lt;=$S$21,INDEX('Cross-cutting issues'!$C$4:$C$18,SMALL(IF(crossstage=2,IF(crossstatus=0,ROW(crossstatus)-ROW('Cross-cutting issues'!$E$4)+1)),ROWS(T$20:T22))),"")</f>
        <v>A national intersectoral programme and strategy for rabies prevention, control and elimination has been drafted and shared with all relevant parties</v>
      </c>
      <c r="U22" s="50" t="str">
        <f t="array" ref="U22">IF(ROWS(U$20:U22)&lt;=$S$22,INDEX('Cross-cutting issues'!$C$4:$C$18,SMALL(IF(crossstage=2,IF(crossstatus=1,ROW(crossstatus)-ROW('Cross-cutting issues'!$E$4)+1)),ROWS(U$20:U22))),"")</f>
        <v/>
      </c>
    </row>
    <row r="23" spans="1:21" s="49" customFormat="1" ht="42">
      <c r="A23" s="215"/>
      <c r="B23" s="112" t="str">
        <f t="array" ref="B23">IF(ROWS(B$20:B23)&lt;=$A$21,INDEX(Legislation!$C$5:$C$16,SMALL(IF(STAGE=2,IF(STATUS=0,ROW(STATUS)-ROW(Legislation!$E$5)+1)),ROWS(B$20:B23))),"")</f>
        <v/>
      </c>
      <c r="C23" s="85" t="str">
        <f t="array" ref="C23">IF(ROWS(C$20:C23)&lt;=$A$22,INDEX(Legislation!$C$5:$C$16,SMALL(IF(STAGE=2,IF(STATUS=1,ROW(STATUS)-ROW(Legislation!$E$5)+1)),ROWS(C$20:C23))),"")</f>
        <v/>
      </c>
      <c r="D23" s="60"/>
      <c r="E23" s="112" t="str">
        <f t="array" ref="E23">IF(ROWS(E$20:E23)&lt;=$D$21,INDEX('Data coll &amp; ax'!$C$4:$C$12,SMALL(IF(datastage=2,IF(datastatus=0,ROW(datastatus)-ROW('Data coll &amp; ax'!$E$4)+1)),ROWS(E$20:E23))),"")</f>
        <v/>
      </c>
      <c r="F23" s="85" t="str">
        <f t="array" ref="F23">IF(ROWS(F$20:F23)&lt;=$D$22,INDEX('Data coll &amp; ax'!$C$4:$C$12,SMALL(IF(datastage=2,IF(datastatus=1,ROW(datastatus)-ROW('Data coll &amp; ax'!$E$4)+1)),ROWS(F$20:F23))),"")</f>
        <v/>
      </c>
      <c r="G23" s="51"/>
      <c r="H23" s="116" t="str">
        <f t="array" ref="H23">IF(ROWS(H$20:H23)&lt;=$G$21,INDEX('Lab dx'!$C$4:$C$13,SMALL(IF(labstage=2,IF(labstatus=0,ROW(labstatus)-ROW('Lab dx'!$E$4)+1)),ROWS(H$20:H23))),"")</f>
        <v/>
      </c>
      <c r="I23" s="50" t="str">
        <f t="array" ref="I23">IF(ROWS(I$20:I23)&lt;=$G$22,INDEX('Lab dx'!$C$4:$C$13,SMALL(IF(labstage=2,IF(labstatus=1,ROW(labstatus)-ROW('Lab dx'!$F$4)+1)),ROWS(I$20:I23))),"")</f>
        <v/>
      </c>
      <c r="J23" s="51"/>
      <c r="K23" s="112" t="str">
        <f t="array" ref="K23">IF(ROWS(K$20:K23)&lt;=$J$21,INDEX(IEC!$C$4:$C$21,SMALL(IF(iecstage=2,IF(iecstatus=0,ROW(iecstatus)-ROW(IEC!$E$4)+1)),ROWS(K$20:K23))),"")</f>
        <v/>
      </c>
      <c r="L23" s="85" t="str">
        <f t="array" ref="L23">IF(ROWS(L$20:L23)&lt;=$J$22,INDEX(IEC!$C$4:$C$21,SMALL(IF(iecstage=2,IF(iecstatus=1,ROW(iecstatus)-ROW(IEC!$E$4)+1)),ROWS(L$20:L23))),"")</f>
        <v/>
      </c>
      <c r="M23" s="55"/>
      <c r="N23" s="116" t="str">
        <f t="array" ref="N23">IF(ROWS(N$20:N23)&lt;=$M$21,INDEX('Prev &amp; Ctrl'!$C$4:$C$28,SMALL(IF(prevstage=2,IF(prevstatus=0,ROW(prevstatus)-ROW('Prev &amp; Ctrl'!$E$4)+1)),ROWS(N$20:N23))),"")</f>
        <v>SOPs on IBCM have been agreed upon, including sharing of information between sectors</v>
      </c>
      <c r="O23" s="50" t="str">
        <f t="array" ref="O23">IF(ROWS(O$20:O23)&lt;=$M$22,INDEX('Prev &amp; Ctrl'!$C$4:$C$28,SMALL(IF(prevstage=2,IF(prevstatus=1,ROW(prevstatus)-ROW('Prev &amp; Ctrl'!$E$4)+1)),ROWS(O$20:O23))),"")</f>
        <v/>
      </c>
      <c r="P23" s="51"/>
      <c r="Q23" s="112" t="str">
        <f t="array" ref="Q23">IF(ROWS(Q$20:Q23)&lt;=$P$21,INDEX('Dog popn'!$C$5:C24,SMALL(IF(dogstage=2,IF(dogstatus=0,ROW(dogstatus)-ROW('Dog popn'!$E$5)+1)),ROWS(Q$20:Q23))),"")</f>
        <v/>
      </c>
      <c r="R23" s="85" t="str">
        <f t="array" ref="R23">IF(ROWS(R$20:R23)&lt;=$P$21,INDEX('Dog popn'!$C$5:$C$7,SMALL(IF(dogstage=2,IF(dogstatus=1,ROW(dogstatus)-ROW('Dog popn'!$E$5)+1)),ROWS(R$20:R23))),"")</f>
        <v/>
      </c>
      <c r="S23" s="51"/>
      <c r="T23" s="116" t="str">
        <f t="array" ref="T23">IF(ROWS(T$20:T23)&lt;=$S$21,INDEX('Cross-cutting issues'!$C$4:$C$18,SMALL(IF(crossstage=2,IF(crossstatus=0,ROW(crossstatus)-ROW('Cross-cutting issues'!$E$4)+1)),ROWS(T$20:T23))),"")</f>
        <v>Government resources identified and allocated for rabies control</v>
      </c>
      <c r="U23" s="50" t="str">
        <f t="array" ref="U23">IF(ROWS(U$20:U23)&lt;=$S$22,INDEX('Cross-cutting issues'!$C$4:$C$18,SMALL(IF(crossstage=2,IF(crossstatus=1,ROW(crossstatus)-ROW('Cross-cutting issues'!$E$4)+1)),ROWS(U$20:U23))),"")</f>
        <v/>
      </c>
    </row>
    <row r="24" spans="1:21" s="49" customFormat="1">
      <c r="A24" s="215"/>
      <c r="B24" s="112" t="str">
        <f t="array" ref="B24">IF(ROWS(B$20:B24)&lt;=$A$21,INDEX(Legislation!$C$5:$C$16,SMALL(IF(STAGE=2,IF(STATUS=0,ROW(STATUS)-ROW(Legislation!$E$5)+1)),ROWS(B$20:B24))),"")</f>
        <v/>
      </c>
      <c r="C24" s="85" t="str">
        <f t="array" ref="C24">IF(ROWS(C$20:C24)&lt;=$A$22,INDEX(Legislation!$C$5:$C$16,SMALL(IF(STAGE=2,IF(STATUS=1,ROW(STATUS)-ROW(Legislation!$E$5)+1)),ROWS(C$20:C24))),"")</f>
        <v/>
      </c>
      <c r="D24" s="60"/>
      <c r="E24" s="112" t="str">
        <f t="array" ref="E24">IF(ROWS(E$20:E24)&lt;=$D$21,INDEX('Data coll &amp; ax'!$C$4:$C$12,SMALL(IF(datastage=2,IF(datastatus=0,ROW(datastatus)-ROW('Data coll &amp; ax'!$E$4)+1)),ROWS(E$20:E24))),"")</f>
        <v/>
      </c>
      <c r="F24" s="85" t="str">
        <f t="array" ref="F24">IF(ROWS(F$20:F24)&lt;=$D$22,INDEX('Data coll &amp; ax'!$C$4:$C$12,SMALL(IF(datastage=2,IF(datastatus=1,ROW(datastatus)-ROW('Data coll &amp; ax'!$E$4)+1)),ROWS(F$20:F24))),"")</f>
        <v/>
      </c>
      <c r="G24" s="51"/>
      <c r="H24" s="116" t="str">
        <f t="array" ref="H24">IF(ROWS(H$20:H24)&lt;=$G$21,INDEX('Lab dx'!$C$4:$C$13,SMALL(IF(labstage=2,IF(labstatus=0,ROW(labstatus)-ROW('Lab dx'!$E$4)+1)),ROWS(H$20:H24))),"")</f>
        <v/>
      </c>
      <c r="I24" s="50" t="str">
        <f t="array" ref="I24">IF(ROWS(I$20:I24)&lt;=$G$22,INDEX('Lab dx'!$C$4:$C$13,SMALL(IF(labstage=2,IF(labstatus=1,ROW(labstatus)-ROW('Lab dx'!$F$4)+1)),ROWS(I$20:I24))),"")</f>
        <v/>
      </c>
      <c r="J24" s="51"/>
      <c r="K24" s="112" t="str">
        <f t="array" ref="K24">IF(ROWS(K$20:K24)&lt;=$J$21,INDEX(IEC!$C$4:$C$21,SMALL(IF(iecstage=2,IF(iecstatus=0,ROW(iecstatus)-ROW(IEC!$E$4)+1)),ROWS(K$20:K24))),"")</f>
        <v/>
      </c>
      <c r="L24" s="85" t="str">
        <f t="array" ref="L24">IF(ROWS(L$20:L24)&lt;=$J$22,INDEX(IEC!$C$4:$C$21,SMALL(IF(iecstage=2,IF(iecstatus=1,ROW(iecstatus)-ROW(IEC!$E$4)+1)),ROWS(L$20:L24))),"")</f>
        <v/>
      </c>
      <c r="M24" s="55"/>
      <c r="N24" s="116" t="str">
        <f t="array" ref="N24">IF(ROWS(N$20:N24)&lt;=$M$21,INDEX('Prev &amp; Ctrl'!$C$4:$C$28,SMALL(IF(prevstage=2,IF(prevstatus=0,ROW(prevstatus)-ROW('Prev &amp; Ctrl'!$E$4)+1)),ROWS(N$20:N24))),"")</f>
        <v/>
      </c>
      <c r="O24" s="50" t="str">
        <f t="array" ref="O24">IF(ROWS(O$20:O24)&lt;=$M$22,INDEX('Prev &amp; Ctrl'!$C$4:$C$28,SMALL(IF(prevstage=2,IF(prevstatus=1,ROW(prevstatus)-ROW('Prev &amp; Ctrl'!$E$4)+1)),ROWS(O$20:O24))),"")</f>
        <v/>
      </c>
      <c r="P24" s="51"/>
      <c r="Q24" s="112" t="str">
        <f t="array" ref="Q24">IF(ROWS(Q$20:Q24)&lt;=$P$21,INDEX('Dog popn'!$C$5:C25,SMALL(IF(dogstage=2,IF(dogstatus=0,ROW(dogstatus)-ROW('Dog popn'!$E$5)+1)),ROWS(Q$20:Q24))),"")</f>
        <v/>
      </c>
      <c r="R24" s="85" t="str">
        <f t="array" ref="R24">IF(ROWS(R$20:R24)&lt;=$P$21,INDEX('Dog popn'!$C$5:$C$7,SMALL(IF(dogstage=2,IF(dogstatus=1,ROW(dogstatus)-ROW('Dog popn'!$E$5)+1)),ROWS(R$20:R24))),"")</f>
        <v/>
      </c>
      <c r="S24" s="51"/>
      <c r="T24" s="116" t="str">
        <f t="array" ref="T24">IF(ROWS(T$20:T24)&lt;=$S$21,INDEX('Cross-cutting issues'!$C$4:$C$18,SMALL(IF(crossstage=2,IF(crossstatus=0,ROW(crossstatus)-ROW('Cross-cutting issues'!$E$4)+1)),ROWS(T$20:T24))),"")</f>
        <v/>
      </c>
      <c r="U24" s="50" t="str">
        <f t="array" ref="U24">IF(ROWS(U$20:U24)&lt;=$S$22,INDEX('Cross-cutting issues'!$C$4:$C$18,SMALL(IF(crossstage=2,IF(crossstatus=1,ROW(crossstatus)-ROW('Cross-cutting issues'!$E$4)+1)),ROWS(U$20:U24))),"")</f>
        <v/>
      </c>
    </row>
    <row r="25" spans="1:21" s="49" customFormat="1">
      <c r="A25" s="215"/>
      <c r="B25" s="112" t="str">
        <f t="array" ref="B25">IF(ROWS(B$20:B25)&lt;=$A$21,INDEX(Legislation!$C$5:$C$16,SMALL(IF(STAGE=2,IF(STATUS=0,ROW(STATUS)-ROW(Legislation!$E$5)+1)),ROWS(B$20:B25))),"")</f>
        <v/>
      </c>
      <c r="C25" s="85" t="str">
        <f t="array" ref="C25">IF(ROWS(C$20:C25)&lt;=$A$22,INDEX(Legislation!$C$5:$C$16,SMALL(IF(STAGE=2,IF(STATUS=1,ROW(STATUS)-ROW(Legislation!$E$5)+1)),ROWS(C$20:C25))),"")</f>
        <v/>
      </c>
      <c r="D25" s="60"/>
      <c r="E25" s="112" t="str">
        <f t="array" ref="E25">IF(ROWS(E$20:E25)&lt;=$D$21,INDEX('Data coll &amp; ax'!$C$4:$C$12,SMALL(IF(datastage=2,IF(datastatus=0,ROW(datastatus)-ROW('Data coll &amp; ax'!$E$4)+1)),ROWS(E$20:E25))),"")</f>
        <v/>
      </c>
      <c r="F25" s="85" t="str">
        <f t="array" ref="F25">IF(ROWS(F$20:F25)&lt;=$D$22,INDEX('Data coll &amp; ax'!$C$4:$C$12,SMALL(IF(datastage=2,IF(datastatus=1,ROW(datastatus)-ROW('Data coll &amp; ax'!$E$4)+1)),ROWS(F$20:F25))),"")</f>
        <v/>
      </c>
      <c r="G25" s="51"/>
      <c r="H25" s="116" t="str">
        <f t="array" ref="H25">IF(ROWS(H$20:H25)&lt;=$G$21,INDEX('Lab dx'!$C$4:$C$13,SMALL(IF(labstage=2,IF(labstatus=0,ROW(labstatus)-ROW('Lab dx'!$E$4)+1)),ROWS(H$20:H25))),"")</f>
        <v/>
      </c>
      <c r="I25" s="50" t="str">
        <f t="array" ref="I25">IF(ROWS(I$20:I25)&lt;=$G$22,INDEX('Lab dx'!$C$4:$C$13,SMALL(IF(labstage=2,IF(labstatus=1,ROW(labstatus)-ROW('Lab dx'!$F$4)+1)),ROWS(I$20:I25))),"")</f>
        <v/>
      </c>
      <c r="J25" s="51"/>
      <c r="K25" s="112" t="str">
        <f t="array" ref="K25">IF(ROWS(K$20:K25)&lt;=$J$21,INDEX(IEC!$C$4:$C$21,SMALL(IF(iecstage=2,IF(iecstatus=0,ROW(iecstatus)-ROW(IEC!$E$4)+1)),ROWS(K$20:K25))),"")</f>
        <v/>
      </c>
      <c r="L25" s="85" t="str">
        <f t="array" ref="L25">IF(ROWS(L$20:L25)&lt;=$J$22,INDEX(IEC!$C$4:$C$21,SMALL(IF(iecstage=2,IF(iecstatus=1,ROW(iecstatus)-ROW(IEC!$E$4)+1)),ROWS(L$20:L25))),"")</f>
        <v/>
      </c>
      <c r="M25" s="55"/>
      <c r="N25" s="116" t="str">
        <f t="array" ref="N25">IF(ROWS(N$20:N25)&lt;=$M$21,INDEX('Prev &amp; Ctrl'!$C$4:$C$28,SMALL(IF(prevstage=2,IF(prevstatus=0,ROW(prevstatus)-ROW('Prev &amp; Ctrl'!$E$4)+1)),ROWS(N$20:N25))),"")</f>
        <v/>
      </c>
      <c r="O25" s="50" t="str">
        <f t="array" ref="O25">IF(ROWS(O$20:O25)&lt;=$M$22,INDEX('Prev &amp; Ctrl'!$C$4:$C$28,SMALL(IF(prevstage=2,IF(prevstatus=1,ROW(prevstatus)-ROW('Prev &amp; Ctrl'!$E$4)+1)),ROWS(O$20:O25))),"")</f>
        <v/>
      </c>
      <c r="P25" s="51"/>
      <c r="Q25" s="112" t="str">
        <f t="array" ref="Q25">IF(ROWS(Q$20:Q25)&lt;=$P$21,INDEX('Dog popn'!$C$5:C26,SMALL(IF(dogstage=2,IF(dogstatus=0,ROW(dogstatus)-ROW('Dog popn'!$E$5)+1)),ROWS(Q$20:Q25))),"")</f>
        <v/>
      </c>
      <c r="R25" s="85" t="str">
        <f t="array" ref="R25">IF(ROWS(R$20:R25)&lt;=$P$21,INDEX('Dog popn'!$C$5:$C$7,SMALL(IF(dogstage=2,IF(dogstatus=1,ROW(dogstatus)-ROW('Dog popn'!$E$5)+1)),ROWS(R$20:R25))),"")</f>
        <v/>
      </c>
      <c r="S25" s="51"/>
      <c r="T25" s="116" t="str">
        <f t="array" ref="T25">IF(ROWS(T$20:T25)&lt;=$S$21,INDEX('Cross-cutting issues'!$C$4:$C$18,SMALL(IF(crossstage=2,IF(crossstatus=0,ROW(crossstatus)-ROW('Cross-cutting issues'!$E$4)+1)),ROWS(T$20:T25))),"")</f>
        <v/>
      </c>
      <c r="U25" s="50" t="str">
        <f t="array" ref="U25">IF(ROWS(U$20:U25)&lt;=$S$22,INDEX('Cross-cutting issues'!$C$4:$C$18,SMALL(IF(crossstage=2,IF(crossstatus=1,ROW(crossstatus)-ROW('Cross-cutting issues'!$E$4)+1)),ROWS(U$20:U25))),"")</f>
        <v/>
      </c>
    </row>
    <row r="26" spans="1:21" s="49" customFormat="1">
      <c r="A26" s="215"/>
      <c r="B26" s="112" t="str">
        <f t="array" ref="B26">IF(ROWS(B$20:B26)&lt;=$A$21,INDEX(Legislation!$C$5:$C$16,SMALL(IF(STAGE=2,IF(STATUS=0,ROW(STATUS)-ROW(Legislation!$E$5)+1)),ROWS(B$20:B26))),"")</f>
        <v/>
      </c>
      <c r="C26" s="85" t="str">
        <f t="array" ref="C26">IF(ROWS(C$20:C26)&lt;=$A$22,INDEX(Legislation!$C$5:$C$16,SMALL(IF(STAGE=2,IF(STATUS=1,ROW(STATUS)-ROW(Legislation!$E$5)+1)),ROWS(C$20:C26))),"")</f>
        <v/>
      </c>
      <c r="D26" s="60"/>
      <c r="E26" s="112" t="str">
        <f t="array" ref="E26">IF(ROWS(E$20:E26)&lt;=$D$21,INDEX('Data coll &amp; ax'!$C$4:$C$12,SMALL(IF(datastage=2,IF(datastatus=0,ROW(datastatus)-ROW('Data coll &amp; ax'!$E$4)+1)),ROWS(E$20:E26))),"")</f>
        <v/>
      </c>
      <c r="F26" s="85" t="str">
        <f t="array" ref="F26">IF(ROWS(F$20:F26)&lt;=$D$22,INDEX('Data coll &amp; ax'!$C$4:$C$12,SMALL(IF(datastage=2,IF(datastatus=1,ROW(datastatus)-ROW('Data coll &amp; ax'!$E$4)+1)),ROWS(F$20:F26))),"")</f>
        <v/>
      </c>
      <c r="G26" s="51"/>
      <c r="H26" s="116" t="str">
        <f t="array" ref="H26">IF(ROWS(H$20:H26)&lt;=$G$21,INDEX('Lab dx'!$C$4:$C$13,SMALL(IF(labstage=2,IF(labstatus=0,ROW(labstatus)-ROW('Lab dx'!$E$4)+1)),ROWS(H$20:H26))),"")</f>
        <v/>
      </c>
      <c r="I26" s="50" t="str">
        <f t="array" ref="I26">IF(ROWS(I$20:I26)&lt;=$G$22,INDEX('Lab dx'!$C$4:$C$13,SMALL(IF(labstage=2,IF(labstatus=1,ROW(labstatus)-ROW('Lab dx'!$F$4)+1)),ROWS(I$20:I26))),"")</f>
        <v/>
      </c>
      <c r="J26" s="51"/>
      <c r="K26" s="112" t="str">
        <f t="array" ref="K26">IF(ROWS(K$20:K26)&lt;=$J$21,INDEX(IEC!$C$4:$C$21,SMALL(IF(iecstage=2,IF(iecstatus=0,ROW(iecstatus)-ROW(IEC!$E$4)+1)),ROWS(K$20:K26))),"")</f>
        <v/>
      </c>
      <c r="L26" s="85" t="str">
        <f t="array" ref="L26">IF(ROWS(L$20:L26)&lt;=$J$22,INDEX(IEC!$C$4:$C$21,SMALL(IF(iecstage=2,IF(iecstatus=1,ROW(iecstatus)-ROW(IEC!$E$4)+1)),ROWS(L$20:L26))),"")</f>
        <v/>
      </c>
      <c r="M26" s="55"/>
      <c r="N26" s="116" t="str">
        <f t="array" ref="N26">IF(ROWS(N$20:N26)&lt;=$M$21,INDEX('Prev &amp; Ctrl'!$C$4:$C$28,SMALL(IF(prevstage=2,IF(prevstatus=0,ROW(prevstatus)-ROW('Prev &amp; Ctrl'!$E$4)+1)),ROWS(N$20:N26))),"")</f>
        <v/>
      </c>
      <c r="O26" s="50" t="str">
        <f t="array" ref="O26">IF(ROWS(O$20:O26)&lt;=$M$22,INDEX('Prev &amp; Ctrl'!$C$4:$C$28,SMALL(IF(prevstage=2,IF(prevstatus=1,ROW(prevstatus)-ROW('Prev &amp; Ctrl'!$E$4)+1)),ROWS(O$20:O26))),"")</f>
        <v/>
      </c>
      <c r="P26" s="51"/>
      <c r="Q26" s="112" t="str">
        <f t="array" ref="Q26">IF(ROWS(Q$20:Q26)&lt;=$P$21,INDEX('Dog popn'!$C$5:C27,SMALL(IF(dogstage=2,IF(dogstatus=0,ROW(dogstatus)-ROW('Dog popn'!$E$5)+1)),ROWS(Q$20:Q26))),"")</f>
        <v/>
      </c>
      <c r="R26" s="85" t="str">
        <f t="array" ref="R26">IF(ROWS(R$20:R26)&lt;=$P$21,INDEX('Dog popn'!$C$5:$C$7,SMALL(IF(dogstage=2,IF(dogstatus=1,ROW(dogstatus)-ROW('Dog popn'!$E$5)+1)),ROWS(R$20:R26))),"")</f>
        <v/>
      </c>
      <c r="S26" s="51"/>
      <c r="T26" s="116" t="str">
        <f t="array" ref="T26">IF(ROWS(T$20:T26)&lt;=$S$21,INDEX('Cross-cutting issues'!$C$4:$C$18,SMALL(IF(crossstage=2,IF(crossstatus=0,ROW(crossstatus)-ROW('Cross-cutting issues'!$E$4)+1)),ROWS(T$20:T26))),"")</f>
        <v/>
      </c>
      <c r="U26" s="50" t="str">
        <f t="array" ref="U26">IF(ROWS(U$20:U26)&lt;=$S$22,INDEX('Cross-cutting issues'!$C$4:$C$18,SMALL(IF(crossstage=2,IF(crossstatus=1,ROW(crossstatus)-ROW('Cross-cutting issues'!$E$4)+1)),ROWS(U$20:U26))),"")</f>
        <v/>
      </c>
    </row>
    <row r="27" spans="1:21" s="49" customFormat="1">
      <c r="A27" s="215"/>
      <c r="B27" s="112" t="str">
        <f t="array" ref="B27">IF(ROWS(B$20:B27)&lt;=$A$21,INDEX(Legislation!$C$5:$C$16,SMALL(IF(STAGE=2,IF(STATUS=0,ROW(STATUS)-ROW(Legislation!$E$5)+1)),ROWS(B$20:B27))),"")</f>
        <v/>
      </c>
      <c r="C27" s="85" t="str">
        <f t="array" ref="C27">IF(ROWS(C$20:C27)&lt;=$A$22,INDEX(Legislation!$C$5:$C$16,SMALL(IF(STAGE=2,IF(STATUS=1,ROW(STATUS)-ROW(Legislation!$E$5)+1)),ROWS(C$20:C27))),"")</f>
        <v/>
      </c>
      <c r="D27" s="60"/>
      <c r="E27" s="112" t="str">
        <f t="array" ref="E27">IF(ROWS(E$20:E27)&lt;=$D$21,INDEX('Data coll &amp; ax'!$C$4:$C$12,SMALL(IF(datastage=2,IF(datastatus=0,ROW(datastatus)-ROW('Data coll &amp; ax'!$E$4)+1)),ROWS(E$20:E27))),"")</f>
        <v/>
      </c>
      <c r="F27" s="85" t="str">
        <f t="array" ref="F27">IF(ROWS(F$20:F27)&lt;=$D$22,INDEX('Data coll &amp; ax'!$C$4:$C$12,SMALL(IF(datastage=2,IF(datastatus=1,ROW(datastatus)-ROW('Data coll &amp; ax'!$E$4)+1)),ROWS(F$20:F27))),"")</f>
        <v/>
      </c>
      <c r="G27" s="51"/>
      <c r="H27" s="116" t="str">
        <f t="array" ref="H27">IF(ROWS(H$20:H27)&lt;=$G$21,INDEX('Lab dx'!$C$4:$C$13,SMALL(IF(labstage=2,IF(labstatus=0,ROW(labstatus)-ROW('Lab dx'!$E$4)+1)),ROWS(H$20:H27))),"")</f>
        <v/>
      </c>
      <c r="I27" s="50" t="str">
        <f t="array" ref="I27">IF(ROWS(I$20:I27)&lt;=$G$22,INDEX('Lab dx'!$C$4:$C$13,SMALL(IF(labstage=2,IF(labstatus=1,ROW(labstatus)-ROW('Lab dx'!$F$4)+1)),ROWS(I$20:I27))),"")</f>
        <v/>
      </c>
      <c r="J27" s="51"/>
      <c r="K27" s="112" t="str">
        <f t="array" ref="K27">IF(ROWS(K$20:K27)&lt;=$J$21,INDEX(IEC!$C$4:$C$21,SMALL(IF(iecstage=2,IF(iecstatus=0,ROW(iecstatus)-ROW(IEC!$E$4)+1)),ROWS(K$20:K27))),"")</f>
        <v/>
      </c>
      <c r="L27" s="85" t="str">
        <f t="array" ref="L27">IF(ROWS(L$20:L27)&lt;=$J$22,INDEX(IEC!$C$4:$C$21,SMALL(IF(iecstage=2,IF(iecstatus=1,ROW(iecstatus)-ROW(IEC!$E$4)+1)),ROWS(L$20:L27))),"")</f>
        <v/>
      </c>
      <c r="M27" s="55"/>
      <c r="N27" s="116" t="str">
        <f t="array" ref="N27">IF(ROWS(N$20:N27)&lt;=$M$21,INDEX('Prev &amp; Ctrl'!$C$4:$C$28,SMALL(IF(prevstage=2,IF(prevstatus=0,ROW(prevstatus)-ROW('Prev &amp; Ctrl'!$E$4)+1)),ROWS(N$20:N27))),"")</f>
        <v/>
      </c>
      <c r="O27" s="50" t="str">
        <f t="array" ref="O27">IF(ROWS(O$20:O27)&lt;=$M$22,INDEX('Prev &amp; Ctrl'!$C$4:$C$28,SMALL(IF(prevstage=2,IF(prevstatus=1,ROW(prevstatus)-ROW('Prev &amp; Ctrl'!$E$4)+1)),ROWS(O$20:O27))),"")</f>
        <v/>
      </c>
      <c r="P27" s="51"/>
      <c r="Q27" s="112" t="str">
        <f t="array" ref="Q27">IF(ROWS(Q$20:Q27)&lt;=$P$21,INDEX('Dog popn'!$C$5:C28,SMALL(IF(dogstage=2,IF(dogstatus=0,ROW(dogstatus)-ROW('Dog popn'!$E$5)+1)),ROWS(Q$20:Q27))),"")</f>
        <v/>
      </c>
      <c r="R27" s="85" t="str">
        <f t="array" ref="R27">IF(ROWS(R$20:R27)&lt;=$P$21,INDEX('Dog popn'!$C$5:$C$7,SMALL(IF(dogstage=2,IF(dogstatus=1,ROW(dogstatus)-ROW('Dog popn'!$E$5)+1)),ROWS(R$20:R27))),"")</f>
        <v/>
      </c>
      <c r="S27" s="51"/>
      <c r="T27" s="116" t="str">
        <f t="array" ref="T27">IF(ROWS(T$20:T27)&lt;=$S$21,INDEX('Cross-cutting issues'!$C$4:$C$18,SMALL(IF(crossstage=2,IF(crossstatus=0,ROW(crossstatus)-ROW('Cross-cutting issues'!$E$4)+1)),ROWS(T$20:T27))),"")</f>
        <v/>
      </c>
      <c r="U27" s="50" t="str">
        <f t="array" ref="U27">IF(ROWS(U$20:U27)&lt;=$S$22,INDEX('Cross-cutting issues'!$C$4:$C$18,SMALL(IF(crossstage=2,IF(crossstatus=1,ROW(crossstatus)-ROW('Cross-cutting issues'!$E$4)+1)),ROWS(U$20:U27))),"")</f>
        <v/>
      </c>
    </row>
    <row r="28" spans="1:21" s="49" customFormat="1">
      <c r="A28" s="216"/>
      <c r="B28" s="113" t="str">
        <f t="array" ref="B28">IF(ROWS(B$20:B28)&lt;=$A$21,INDEX(Legislation!$C$5:$C$16,SMALL(IF(STAGE=2,IF(STATUS=0,ROW(STATUS)-ROW(Legislation!$E$5)+1)),ROWS(B$20:B28))),"")</f>
        <v/>
      </c>
      <c r="C28" s="86" t="str">
        <f t="array" ref="C28">IF(ROWS(C$20:C28)&lt;=$A$22,INDEX(Legislation!$C$5:$C$16,SMALL(IF(STAGE=2,IF(STATUS=1,ROW(STATUS)-ROW(Legislation!$E$5)+1)),ROWS(C$20:C28))),"")</f>
        <v/>
      </c>
      <c r="D28" s="61"/>
      <c r="E28" s="113" t="str">
        <f t="array" ref="E28">IF(ROWS(E$20:E28)&lt;=$D$21,INDEX('Data coll &amp; ax'!$C$4:$C$12,SMALL(IF(datastage=2,IF(datastatus=0,ROW(datastatus)-ROW('Data coll &amp; ax'!$E$4)+1)),ROWS(E$20:E28))),"")</f>
        <v/>
      </c>
      <c r="F28" s="86" t="str">
        <f t="array" ref="F28">IF(ROWS(F$20:F28)&lt;=$D$22,INDEX('Data coll &amp; ax'!$C$4:$C$12,SMALL(IF(datastage=2,IF(datastatus=1,ROW(datastatus)-ROW('Data coll &amp; ax'!$E$4)+1)),ROWS(F$20:F28))),"")</f>
        <v/>
      </c>
      <c r="G28" s="53"/>
      <c r="H28" s="117" t="str">
        <f t="array" ref="H28">IF(ROWS(H$20:H28)&lt;=$G$21,INDEX('Lab dx'!$C$4:$C$13,SMALL(IF(labstage=2,IF(labstatus=0,ROW(labstatus)-ROW('Lab dx'!$E$4)+1)),ROWS(H$20:H28))),"")</f>
        <v/>
      </c>
      <c r="I28" s="52" t="str">
        <f t="array" ref="I28">IF(ROWS(I$20:I28)&lt;=$G$22,INDEX('Lab dx'!$C$4:$C$13,SMALL(IF(labstage=2,IF(labstatus=1,ROW(labstatus)-ROW('Lab dx'!$F$4)+1)),ROWS(I$20:I28))),"")</f>
        <v/>
      </c>
      <c r="J28" s="53"/>
      <c r="K28" s="113" t="str">
        <f t="array" ref="K28">IF(ROWS(K$20:K28)&lt;=$J$21,INDEX(IEC!$C$4:$C$21,SMALL(IF(iecstage=2,IF(iecstatus=0,ROW(iecstatus)-ROW(IEC!$E$4)+1)),ROWS(K$20:K28))),"")</f>
        <v/>
      </c>
      <c r="L28" s="86" t="str">
        <f t="array" ref="L28">IF(ROWS(L$20:L28)&lt;=$J$22,INDEX(IEC!$C$4:$C$21,SMALL(IF(iecstage=2,IF(iecstatus=1,ROW(iecstatus)-ROW(IEC!$E$4)+1)),ROWS(L$20:L28))),"")</f>
        <v/>
      </c>
      <c r="M28" s="56"/>
      <c r="N28" s="117" t="str">
        <f t="array" ref="N28">IF(ROWS(N$20:N28)&lt;=$M$21,INDEX('Prev &amp; Ctrl'!$C$4:$C$28,SMALL(IF(prevstage=2,IF(prevstatus=0,ROW(prevstatus)-ROW('Prev &amp; Ctrl'!$E$4)+1)),ROWS(N$20:N28))),"")</f>
        <v/>
      </c>
      <c r="O28" s="52" t="str">
        <f t="array" ref="O28">IF(ROWS(O$20:O28)&lt;=$M$22,INDEX('Prev &amp; Ctrl'!$C$4:$C$28,SMALL(IF(prevstage=2,IF(prevstatus=1,ROW(prevstatus)-ROW('Prev &amp; Ctrl'!$E$4)+1)),ROWS(O$20:O28))),"")</f>
        <v/>
      </c>
      <c r="P28" s="53"/>
      <c r="Q28" s="113" t="str">
        <f t="array" ref="Q28">IF(ROWS(Q$20:Q28)&lt;=$P$21,INDEX('Dog popn'!$C$5:C29,SMALL(IF(dogstage=2,IF(dogstatus=0,ROW(dogstatus)-ROW('Dog popn'!$E$5)+1)),ROWS(Q$20:Q28))),"")</f>
        <v/>
      </c>
      <c r="R28" s="86" t="str">
        <f t="array" ref="R28">IF(ROWS(R$20:R28)&lt;=$P$21,INDEX('Dog popn'!$C$5:$C$7,SMALL(IF(dogstage=2,IF(dogstatus=1,ROW(dogstatus)-ROW('Dog popn'!$E$5)+1)),ROWS(R$20:R28))),"")</f>
        <v/>
      </c>
      <c r="S28" s="53"/>
      <c r="T28" s="117" t="str">
        <f t="array" ref="T28">IF(ROWS(T$20:T28)&lt;=$S$21,INDEX('Cross-cutting issues'!$C$4:$C$18,SMALL(IF(crossstage=2,IF(crossstatus=0,ROW(crossstatus)-ROW('Cross-cutting issues'!$E$4)+1)),ROWS(T$20:T28))),"")</f>
        <v/>
      </c>
      <c r="U28" s="52" t="str">
        <f t="array" ref="U28">IF(ROWS(U$20:U28)&lt;=$S$22,INDEX('Cross-cutting issues'!$C$4:$C$18,SMALL(IF(crossstage=2,IF(crossstatus=1,ROW(crossstatus)-ROW('Cross-cutting issues'!$E$4)+1)),ROWS(U$20:U28))),"")</f>
        <v/>
      </c>
    </row>
    <row r="29" spans="1:21" s="49" customFormat="1" ht="84">
      <c r="A29" s="210">
        <v>3</v>
      </c>
      <c r="B29" s="110" t="str">
        <f t="array" ref="B29">IF(ROWS(B$29:B29)&lt;=$A$30,INDEX(Legislation!$C$5:$C$16,SMALL(IF(STAGE=3,IF(STATUS=0,ROW(STATUS)-ROW(Legislation!$E$5)+1)),ROWS(B$29:B29))),"")</f>
        <v/>
      </c>
      <c r="C29" s="84" t="str">
        <f t="array" ref="C29">IF(ROWS(C$29:C29)&lt;=$A$31,INDEX(Legislation!$C$5:$C$16,SMALL(IF(STAGE=3,IF(STATUS=1,ROW(STATUS)-ROW(Legislation!$E$5)+1)),ROWS(C$29:C29))),"")</f>
        <v/>
      </c>
      <c r="D29" s="59"/>
      <c r="E29" s="112" t="str">
        <f t="array" ref="E29">IF(ROWS(E$29:E29)&lt;=$D$30,INDEX('Data coll &amp; ax'!$C$4:$C$12,SMALL(IF(datastage=3,IF(datastatus=0,ROW(datastatus)-ROW('Data coll &amp; ax'!$E$4)+1)),ROWS(E$29:E29))),"")</f>
        <v>Vigorous surveillance is being conducted</v>
      </c>
      <c r="F29" s="85" t="str">
        <f t="array" ref="F29">IF(ROWS(F$29:F29)&lt;=$D$31,INDEX('Data coll &amp; ax'!$C$4:$C$12,SMALL(IF(datastage=3,IF(datastatus=1,ROW(datastatus)-ROW('Data coll &amp; ax'!$E$4)+1)),ROWS(F$29:F29))),"")</f>
        <v/>
      </c>
      <c r="G29" s="51"/>
      <c r="H29" s="115" t="str">
        <f t="array" ref="H29">IF(ROWS(H$29:H29)&lt;=$G$30,INDEX('Lab dx'!$C$4:$C$13,SMALL(IF(labstage=3,IF(labstatus=0,ROW(labstatus)-ROW('Lab dx'!$E$4)+1)),ROWS(H$29:H29))),"")</f>
        <v>Laboratory diagnosis is available at central and provincial or district levels for animal samples</v>
      </c>
      <c r="I29" s="47" t="str">
        <f t="array" ref="I29">IF(ROWS(I$29:I29)&lt;=$G$31,INDEX('Lab dx'!$C$4:$C$13,SMALL(IF(labstage=3,IF(labstatus=1,ROW(labstatus)-ROW('Lab dx'!$F$4)+1)),ROWS(I$29:I29))),"")</f>
        <v>Possibility for characterization of rabies virus variants has been identified (molecular epidemiology) inside or outside the country</v>
      </c>
      <c r="J29" s="48"/>
      <c r="K29" s="110" t="str">
        <f t="array" ref="K29">IF(ROWS(K$29:K29)&lt;=$J$30,INDEX(IEC!$C$4:$C$21,SMALL(IF(iecstage=3,IF(iecstatus=0,ROW(iecstatus)-ROW(IEC!$E$4)+1)),ROWS(K$29:K29))),"")</f>
        <v>Communication plan on approaching rabies elimination is being elaborated and publicized</v>
      </c>
      <c r="L29" s="84" t="str">
        <f t="array" ref="L29">IF(ROWS(L$29:L29)&lt;=$J$31,INDEX(IEC!$C$4:$C$21,SMALL(IF(iecstage=3,IF(iecstatus=1,ROW(iecstatus)-ROW(IEC!$E$4)+1)),ROWS(L$29:L29))),"")</f>
        <v/>
      </c>
      <c r="M29" s="54"/>
      <c r="N29" s="115" t="str">
        <f t="array" ref="N29">IF(ROWS(N$29:N29)&lt;=$M$30,INDEX('Prev &amp; Ctrl'!$C$4:$C$28,SMALL(IF(prevstage=3,IF(prevstatus=0,ROW(prevstatus)-ROW('Prev &amp; Ctrl'!$E$4)+1)),ROWS(N$29:N29))),"")</f>
        <v>Timely supply of and access to quality human biologics are assured throughout the country (e.g. Pre- and Post- Exposure Prophylaxis available to high risk and exposed individuals throughout the country)</v>
      </c>
      <c r="O29" s="47" t="str">
        <f t="array" ref="O29">IF(ROWS(O$29:O29)&lt;=$M$31,INDEX('Prev &amp; Ctrl'!$C$4:$C$28,SMALL(IF(prevstage=3,IF(prevstatus=1,ROW(prevstatus)-ROW('Prev &amp; Ctrl'!$E$4)+1)),ROWS(O$29:O29))),"")</f>
        <v/>
      </c>
      <c r="P29" s="48"/>
      <c r="Q29" s="110" t="str">
        <f t="array" ref="Q29">IF(ROWS(Q$29:Q29)&lt;=$P$30,INDEX('Dog popn'!$C$5:C30,SMALL(IF(dogstage=3,IF(dogstatus=0,ROW(dogstatus)-ROW('Dog popn'!$E$5)+1)),ROWS(Q$29:Q29))),"")</f>
        <v>More detailed dog ecology and KAP surveys, with refinement of strategy as indicated</v>
      </c>
      <c r="R29" s="84" t="str">
        <f t="array" ref="R29">IF(ROWS(R$29:R29)&lt;=$P$31,INDEX('Dog popn'!$C$5:$C$7,SMALL(IF(dogstage=3,IF(dogstatus=1,ROW(dogstatus)-ROW('Dog popn'!$E$5)+1)),ROWS(R$29:R29))),"")</f>
        <v/>
      </c>
      <c r="S29" s="48"/>
      <c r="T29" s="115" t="str">
        <f t="array" ref="T29">IF(ROWS(T$29:T29)&lt;=$S$30,INDEX('Cross-cutting issues'!$C$4:$C$18,SMALL(IF(crossstage=3,IF(crossstatus=0,ROW(crossstatus)-ROW('Cross-cutting issues'!$E$4)+1)),ROWS(T$29:T29))),"")</f>
        <v>Evaluation of dog  rabies interventions (eg post-vaccination surveys)</v>
      </c>
      <c r="U29" s="47" t="str">
        <f t="array" ref="U29">IF(ROWS(U$29:U29)&lt;=$S$31,INDEX('Cross-cutting issues'!$C$4:$C$18,SMALL(IF(crossstage=3,IF(crossstatus=1,ROW(crossstatus)-ROW('Cross-cutting issues'!$E$4)+1)),ROWS(U$29:U29))),"")</f>
        <v/>
      </c>
    </row>
    <row r="30" spans="1:21" s="49" customFormat="1" ht="42">
      <c r="A30" s="214">
        <f>SUMPRODUCT((STAGE=3)*(STATUS=0))</f>
        <v>0</v>
      </c>
      <c r="B30" s="112" t="str">
        <f t="array" ref="B30">IF(ROWS(B$29:B30)&lt;=$A$30,INDEX(Legislation!$C$5:$C$16,SMALL(IF(STAGE=3,IF(STATUS=0,ROW(STATUS)-ROW(Legislation!$E$5)+1)),ROWS(B$29:B30))),"")</f>
        <v/>
      </c>
      <c r="C30" s="85" t="str">
        <f t="array" ref="C30">IF(ROWS(C$29:C30)&lt;=$A$31,INDEX(Legislation!$C$5:$C$16,SMALL(IF(STAGE=3,IF(STATUS=1,ROW(STATUS)-ROW(Legislation!$E$5)+1)),ROWS(C$29:C30))),"")</f>
        <v/>
      </c>
      <c r="D30" s="60">
        <f>SUMPRODUCT(((datastage=3)*(datastatus=0)))</f>
        <v>2</v>
      </c>
      <c r="E30" s="112" t="str">
        <f t="array" ref="E30">IF(ROWS(E$29:E30)&lt;=$D$30,INDEX('Data coll &amp; ax'!$C$4:$C$12,SMALL(IF(datastage=3,IF(datastatus=0,ROW(datastatus)-ROW('Data coll &amp; ax'!$E$4)+1)),ROWS(E$29:E30))),"")</f>
        <v>Collection of health economic data on rabies control at national level has been ongoing</v>
      </c>
      <c r="F30" s="85" t="str">
        <f t="array" ref="F30">IF(ROWS(F$29:F30)&lt;=$D$31,INDEX('Data coll &amp; ax'!$C$4:$C$12,SMALL(IF(datastage=3,IF(datastatus=1,ROW(datastatus)-ROW('Data coll &amp; ax'!$E$4)+1)),ROWS(F$29:F30))),"")</f>
        <v/>
      </c>
      <c r="G30" s="51">
        <f>SUMPRODUCT((labstage=3)*(labstatus=0))</f>
        <v>2</v>
      </c>
      <c r="H30" s="116" t="str">
        <f t="array" ref="H30">IF(ROWS(H$29:H30)&lt;=$G$30,INDEX('Lab dx'!$C$4:$C$13,SMALL(IF(labstage=3,IF(labstatus=0,ROW(labstatus)-ROW('Lab dx'!$E$4)+1)),ROWS(H$29:H30))),"")</f>
        <v>Laboratory diagnosis is available at central and provincial or district levels for human samples</v>
      </c>
      <c r="I30" s="50" t="str">
        <f t="array" ref="I30">IF(ROWS(I$29:I30)&lt;=$G$31,INDEX('Lab dx'!$C$4:$C$13,SMALL(IF(labstage=3,IF(labstatus=1,ROW(labstatus)-ROW('Lab dx'!$F$4)+1)),ROWS(I$29:I30))),"")</f>
        <v/>
      </c>
      <c r="J30" s="51">
        <f>SUMPRODUCT((iecstage=3)*(iecstatus=0))</f>
        <v>3</v>
      </c>
      <c r="K30" s="112" t="str">
        <f t="array" ref="K30">IF(ROWS(K$29:K30)&lt;=$J$30,INDEX(IEC!$C$4:$C$21,SMALL(IF(iecstage=3,IF(iecstatus=0,ROW(iecstatus)-ROW(IEC!$E$4)+1)),ROWS(K$29:K30))),"")</f>
        <v>Continue large scale public awareness campaigns promoting dog vaccination</v>
      </c>
      <c r="L30" s="85" t="str">
        <f t="array" ref="L30">IF(ROWS(L$29:L30)&lt;=$J$31,INDEX(IEC!$C$4:$C$21,SMALL(IF(iecstage=3,IF(iecstatus=1,ROW(iecstatus)-ROW(IEC!$E$4)+1)),ROWS(L$29:L30))),"")</f>
        <v/>
      </c>
      <c r="M30" s="55">
        <f>SUMPRODUCT((prevstage=3)*(prevstatus=0))</f>
        <v>6</v>
      </c>
      <c r="N30" s="116" t="str">
        <f t="array" ref="N30">IF(ROWS(N$29:N30)&lt;=$M$30,INDEX('Prev &amp; Ctrl'!$C$4:$C$28,SMALL(IF(prevstage=3,IF(prevstatus=0,ROW(prevstatus)-ROW('Prev &amp; Ctrl'!$E$4)+1)),ROWS(N$29:N30))),"")</f>
        <v>Modified protocols on criteria for PEP administration in rabies free areas have been developed</v>
      </c>
      <c r="O30" s="50" t="str">
        <f t="array" ref="O30">IF(ROWS(O$29:O30)&lt;=$M$31,INDEX('Prev &amp; Ctrl'!$C$4:$C$28,SMALL(IF(prevstage=3,IF(prevstatus=1,ROW(prevstatus)-ROW('Prev &amp; Ctrl'!$E$4)+1)),ROWS(O$29:O30))),"")</f>
        <v/>
      </c>
      <c r="P30" s="51">
        <f>SUMPRODUCT((dogstage=3)*(dogstatus=0))</f>
        <v>2</v>
      </c>
      <c r="Q30" s="112" t="str">
        <f t="array" ref="Q30">IF(ROWS(Q$29:Q30)&lt;=$P$30,INDEX('Dog popn'!$C$5:C31,SMALL(IF(dogstage=3,IF(dogstatus=0,ROW(dogstatus)-ROW('Dog popn'!$E$5)+1)),ROWS(Q$29:Q30))),"")</f>
        <v>Responsible dog ownership promotion has been included into regular rabies awareness campaigns</v>
      </c>
      <c r="R30" s="85" t="str">
        <f t="array" ref="R30">IF(ROWS(R$29:R30)&lt;=$P$31,INDEX('Dog popn'!$C$5:$C$7,SMALL(IF(dogstage=3,IF(dogstatus=1,ROW(dogstatus)-ROW('Dog popn'!$E$5)+1)),ROWS(R$29:R30))),"")</f>
        <v/>
      </c>
      <c r="S30" s="51">
        <f>SUMPRODUCT((crossstage=3)*(crossstatus=0))</f>
        <v>3</v>
      </c>
      <c r="T30" s="116" t="str">
        <f t="array" ref="T30">IF(ROWS(T$29:T30)&lt;=$S$30,INDEX('Cross-cutting issues'!$C$4:$C$18,SMALL(IF(crossstage=3,IF(crossstatus=0,ROW(crossstatus)-ROW('Cross-cutting issues'!$E$4)+1)),ROWS(T$29:T30))),"")</f>
        <v>Evaluation of human rabies interventions (eg PEP monitoring human patients)</v>
      </c>
      <c r="U30" s="50" t="str">
        <f t="array" ref="U30">IF(ROWS(U$29:U30)&lt;=$S$31,INDEX('Cross-cutting issues'!$C$4:$C$18,SMALL(IF(crossstage=3,IF(crossstatus=1,ROW(crossstatus)-ROW('Cross-cutting issues'!$E$4)+1)),ROWS(U$29:U30))),"")</f>
        <v/>
      </c>
    </row>
    <row r="31" spans="1:21" s="49" customFormat="1" ht="56">
      <c r="A31" s="214">
        <f>SUMPRODUCT((STAGE=3)*(STATUS=1))</f>
        <v>0</v>
      </c>
      <c r="B31" s="112" t="str">
        <f t="array" ref="B31">IF(ROWS(B$29:B31)&lt;=$A$30,INDEX(Legislation!$C$5:$C$16,SMALL(IF(STAGE=3,IF(STATUS=0,ROW(STATUS)-ROW(Legislation!$E$5)+1)),ROWS(B$29:B31))),"")</f>
        <v/>
      </c>
      <c r="C31" s="85" t="str">
        <f t="array" ref="C31">IF(ROWS(C$29:C31)&lt;=$A$31,INDEX(Legislation!$C$5:$C$16,SMALL(IF(STAGE=3,IF(STATUS=1,ROW(STATUS)-ROW(Legislation!$E$5)+1)),ROWS(C$29:C31))),"")</f>
        <v/>
      </c>
      <c r="D31" s="60">
        <f>SUMPRODUCT((datastage=3)*(datastatus=1))</f>
        <v>0</v>
      </c>
      <c r="E31" s="112" t="str">
        <f t="array" ref="E31">IF(ROWS(E$29:E31)&lt;=$D$30,INDEX('Data coll &amp; ax'!$C$4:$C$12,SMALL(IF(datastage=3,IF(datastatus=0,ROW(datastatus)-ROW('Data coll &amp; ax'!$E$4)+1)),ROWS(E$29:E31))),"")</f>
        <v/>
      </c>
      <c r="F31" s="85" t="str">
        <f t="array" ref="F31">IF(ROWS(F$29:F31)&lt;=$D$31,INDEX('Data coll &amp; ax'!$C$4:$C$12,SMALL(IF(datastage=3,IF(datastatus=1,ROW(datastatus)-ROW('Data coll &amp; ax'!$E$4)+1)),ROWS(F$29:F31))),"")</f>
        <v/>
      </c>
      <c r="G31" s="51">
        <f>SUMPRODUCT((labstage=3)*(labstatus=1))</f>
        <v>1</v>
      </c>
      <c r="H31" s="116" t="str">
        <f t="array" ref="H31">IF(ROWS(H$29:H31)&lt;=$G$30,INDEX('Lab dx'!$C$4:$C$13,SMALL(IF(labstage=3,IF(labstatus=0,ROW(labstatus)-ROW('Lab dx'!$E$4)+1)),ROWS(H$29:H31))),"")</f>
        <v/>
      </c>
      <c r="I31" s="50" t="str">
        <f t="array" ref="I31">IF(ROWS(I$29:I31)&lt;=$G$31,INDEX('Lab dx'!$C$4:$C$13,SMALL(IF(labstage=3,IF(labstatus=1,ROW(labstatus)-ROW('Lab dx'!$F$4)+1)),ROWS(I$29:I31))),"")</f>
        <v/>
      </c>
      <c r="J31" s="51">
        <f>SUMPRODUCT((iecstage=3)*(iecstatus=1))</f>
        <v>0</v>
      </c>
      <c r="K31" s="112" t="str">
        <f t="array" ref="K31">IF(ROWS(K$29:K31)&lt;=$J$30,INDEX(IEC!$C$4:$C$21,SMALL(IF(iecstage=3,IF(iecstatus=0,ROW(iecstatus)-ROW(IEC!$E$4)+1)),ROWS(K$29:K31))),"")</f>
        <v>Responsible dog ownership promotion has been included into regular rabies awareness campaigns</v>
      </c>
      <c r="L31" s="85" t="str">
        <f t="array" ref="L31">IF(ROWS(L$29:L31)&lt;=$J$31,INDEX(IEC!$C$4:$C$21,SMALL(IF(iecstage=3,IF(iecstatus=1,ROW(iecstatus)-ROW(IEC!$E$4)+1)),ROWS(L$29:L31))),"")</f>
        <v/>
      </c>
      <c r="M31" s="55">
        <f>SUMPRODUCT((prevstage=3)*(prevstatus=1))</f>
        <v>0</v>
      </c>
      <c r="N31" s="116" t="str">
        <f t="array" ref="N31">IF(ROWS(N$29:N31)&lt;=$M$30,INDEX('Prev &amp; Ctrl'!$C$4:$C$28,SMALL(IF(prevstage=3,IF(prevstatus=0,ROW(prevstatus)-ROW('Prev &amp; Ctrl'!$E$4)+1)),ROWS(N$29:N31))),"")</f>
        <v>Thorough (70% of the total dog population) mass dog vaccination campaigns are conducted as scheduled throughout the country</v>
      </c>
      <c r="O31" s="50" t="str">
        <f t="array" ref="O31">IF(ROWS(O$29:O31)&lt;=$M$31,INDEX('Prev &amp; Ctrl'!$C$4:$C$28,SMALL(IF(prevstage=3,IF(prevstatus=1,ROW(prevstatus)-ROW('Prev &amp; Ctrl'!$E$4)+1)),ROWS(O$29:O31))),"")</f>
        <v/>
      </c>
      <c r="P31" s="51">
        <f>SUMPRODUCT((dogstage=3)*(dogstatus=1))</f>
        <v>0</v>
      </c>
      <c r="Q31" s="112" t="str">
        <f t="array" ref="Q31">IF(ROWS(Q$29:Q31)&lt;=$P$30,INDEX('Dog popn'!$C$5:C32,SMALL(IF(dogstage=3,IF(dogstatus=0,ROW(dogstatus)-ROW('Dog popn'!$E$5)+1)),ROWS(Q$29:Q31))),"")</f>
        <v/>
      </c>
      <c r="R31" s="85" t="str">
        <f t="array" ref="R31">IF(ROWS(R$29:R31)&lt;=$P$31,INDEX('Dog popn'!$C$5:$C$7,SMALL(IF(dogstage=3,IF(dogstatus=1,ROW(dogstatus)-ROW('Dog popn'!$E$5)+1)),ROWS(R$29:R31))),"")</f>
        <v/>
      </c>
      <c r="S31" s="51">
        <f>SUMPRODUCT((crossstage=3)*(crossstatus=1))</f>
        <v>0</v>
      </c>
      <c r="T31" s="116" t="str">
        <f t="array" ref="T31">IF(ROWS(T$29:T31)&lt;=$S$30,INDEX('Cross-cutting issues'!$C$4:$C$18,SMALL(IF(crossstage=3,IF(crossstatus=0,ROW(crossstatus)-ROW('Cross-cutting issues'!$E$4)+1)),ROWS(T$29:T31))),"")</f>
        <v>The epidemiological situation has been reviewed and national programme and strategy have been adapted as needed</v>
      </c>
      <c r="U31" s="50" t="str">
        <f t="array" ref="U31">IF(ROWS(U$29:U31)&lt;=$S$31,INDEX('Cross-cutting issues'!$C$4:$C$18,SMALL(IF(crossstage=3,IF(crossstatus=1,ROW(crossstatus)-ROW('Cross-cutting issues'!$E$4)+1)),ROWS(U$29:U31))),"")</f>
        <v/>
      </c>
    </row>
    <row r="32" spans="1:21" s="49" customFormat="1" ht="28">
      <c r="A32" s="215"/>
      <c r="B32" s="112" t="str">
        <f t="array" ref="B32">IF(ROWS(B$29:B32)&lt;=$A$30,INDEX(Legislation!$C$5:$C$16,SMALL(IF(STAGE=3,IF(STATUS=0,ROW(STATUS)-ROW(Legislation!$E$5)+1)),ROWS(B$29:B32))),"")</f>
        <v/>
      </c>
      <c r="C32" s="85" t="str">
        <f t="array" ref="C32">IF(ROWS(C$29:C32)&lt;=$A$31,INDEX(Legislation!$C$5:$C$16,SMALL(IF(STAGE=3,IF(STATUS=1,ROW(STATUS)-ROW(Legislation!$E$5)+1)),ROWS(C$29:C32))),"")</f>
        <v/>
      </c>
      <c r="D32" s="60"/>
      <c r="E32" s="112" t="str">
        <f t="array" ref="E32">IF(ROWS(E$29:E32)&lt;=$D$30,INDEX('Data coll &amp; ax'!$C$4:$C$12,SMALL(IF(datastage=3,IF(datastatus=0,ROW(datastatus)-ROW('Data coll &amp; ax'!$E$4)+1)),ROWS(E$29:E32))),"")</f>
        <v/>
      </c>
      <c r="F32" s="85" t="str">
        <f t="array" ref="F32">IF(ROWS(F$29:F32)&lt;=$D$31,INDEX('Data coll &amp; ax'!$C$4:$C$12,SMALL(IF(datastage=3,IF(datastatus=1,ROW(datastatus)-ROW('Data coll &amp; ax'!$E$4)+1)),ROWS(F$29:F32))),"")</f>
        <v/>
      </c>
      <c r="G32" s="51"/>
      <c r="H32" s="116" t="str">
        <f t="array" ref="H32">IF(ROWS(H$29:H32)&lt;=$G$30,INDEX('Lab dx'!$C$4:$C$13,SMALL(IF(labstage=3,IF(labstatus=0,ROW(labstatus)-ROW('Lab dx'!$E$4)+1)),ROWS(H$29:H32))),"")</f>
        <v/>
      </c>
      <c r="I32" s="50" t="str">
        <f t="array" ref="I32">IF(ROWS(I$29:I32)&lt;=$G$31,INDEX('Lab dx'!$C$4:$C$13,SMALL(IF(labstage=3,IF(labstatus=1,ROW(labstatus)-ROW('Lab dx'!$F$4)+1)),ROWS(I$29:I32))),"")</f>
        <v/>
      </c>
      <c r="J32" s="51"/>
      <c r="K32" s="112" t="str">
        <f t="array" ref="K32">IF(ROWS(K$29:K32)&lt;=$J$30,INDEX(IEC!$C$4:$C$21,SMALL(IF(iecstage=3,IF(iecstatus=0,ROW(iecstatus)-ROW(IEC!$E$4)+1)),ROWS(K$29:K32))),"")</f>
        <v/>
      </c>
      <c r="L32" s="85" t="str">
        <f t="array" ref="L32">IF(ROWS(L$29:L32)&lt;=$J$31,INDEX(IEC!$C$4:$C$21,SMALL(IF(iecstage=3,IF(iecstatus=1,ROW(iecstatus)-ROW(IEC!$E$4)+1)),ROWS(L$29:L32))),"")</f>
        <v/>
      </c>
      <c r="M32" s="55"/>
      <c r="N32" s="116" t="str">
        <f t="array" ref="N32">IF(ROWS(N$29:N32)&lt;=$M$30,INDEX('Prev &amp; Ctrl'!$C$4:$C$28,SMALL(IF(prevstage=3,IF(prevstatus=0,ROW(prevstatus)-ROW('Prev &amp; Ctrl'!$E$4)+1)),ROWS(N$29:N32))),"")</f>
        <v>Professionals have been trained in outbreak response and investigation</v>
      </c>
      <c r="O32" s="50" t="str">
        <f t="array" ref="O32">IF(ROWS(O$29:O32)&lt;=$M$31,INDEX('Prev &amp; Ctrl'!$C$4:$C$28,SMALL(IF(prevstage=3,IF(prevstatus=1,ROW(prevstatus)-ROW('Prev &amp; Ctrl'!$E$4)+1)),ROWS(O$29:O32))),"")</f>
        <v/>
      </c>
      <c r="P32" s="51"/>
      <c r="Q32" s="112" t="str">
        <f t="array" ref="Q32">IF(ROWS(Q$29:Q32)&lt;=$P$30,INDEX('Dog popn'!$C$5:C33,SMALL(IF(dogstage=3,IF(dogstatus=0,ROW(dogstatus)-ROW('Dog popn'!$E$5)+1)),ROWS(Q$29:Q32))),"")</f>
        <v/>
      </c>
      <c r="R32" s="85" t="str">
        <f t="array" ref="R32">IF(ROWS(R$29:R32)&lt;=$P$31,INDEX('Dog popn'!$C$5:$C$7,SMALL(IF(dogstage=3,IF(dogstatus=1,ROW(dogstatus)-ROW('Dog popn'!$E$5)+1)),ROWS(R$29:R32))),"")</f>
        <v/>
      </c>
      <c r="S32" s="51"/>
      <c r="T32" s="116" t="str">
        <f t="array" ref="T32">IF(ROWS(T$29:T32)&lt;=$S$30,INDEX('Cross-cutting issues'!$C$4:$C$18,SMALL(IF(crossstage=3,IF(crossstatus=0,ROW(crossstatus)-ROW('Cross-cutting issues'!$E$4)+1)),ROWS(T$29:T32))),"")</f>
        <v/>
      </c>
      <c r="U32" s="50" t="str">
        <f t="array" ref="U32">IF(ROWS(U$29:U32)&lt;=$S$31,INDEX('Cross-cutting issues'!$C$4:$C$18,SMALL(IF(crossstage=3,IF(crossstatus=1,ROW(crossstatus)-ROW('Cross-cutting issues'!$E$4)+1)),ROWS(U$29:U32))),"")</f>
        <v/>
      </c>
    </row>
    <row r="33" spans="1:21" s="49" customFormat="1" ht="42">
      <c r="A33" s="215"/>
      <c r="B33" s="112" t="str">
        <f t="array" ref="B33">IF(ROWS(B$29:B33)&lt;=$A$30,INDEX(Legislation!$C$5:$C$16,SMALL(IF(STAGE=3,IF(STATUS=0,ROW(STATUS)-ROW(Legislation!$E$5)+1)),ROWS(B$29:B33))),"")</f>
        <v/>
      </c>
      <c r="C33" s="85" t="str">
        <f t="array" ref="C33">IF(ROWS(C$29:C33)&lt;=$A$31,INDEX(Legislation!$C$5:$C$16,SMALL(IF(STAGE=3,IF(STATUS=1,ROW(STATUS)-ROW(Legislation!$E$5)+1)),ROWS(C$29:C33))),"")</f>
        <v/>
      </c>
      <c r="D33" s="60"/>
      <c r="E33" s="112" t="str">
        <f t="array" ref="E33">IF(ROWS(E$29:E33)&lt;=$D$30,INDEX('Data coll &amp; ax'!$C$4:$C$12,SMALL(IF(datastage=3,IF(datastatus=0,ROW(datastatus)-ROW('Data coll &amp; ax'!$E$4)+1)),ROWS(E$29:E33))),"")</f>
        <v/>
      </c>
      <c r="F33" s="85" t="str">
        <f t="array" ref="F33">IF(ROWS(F$29:F33)&lt;=$D$31,INDEX('Data coll &amp; ax'!$C$4:$C$12,SMALL(IF(datastage=3,IF(datastatus=1,ROW(datastatus)-ROW('Data coll &amp; ax'!$E$4)+1)),ROWS(F$29:F33))),"")</f>
        <v/>
      </c>
      <c r="G33" s="51"/>
      <c r="H33" s="116" t="str">
        <f t="array" ref="H33">IF(ROWS(H$29:H33)&lt;=$G$30,INDEX('Lab dx'!$C$4:$C$13,SMALL(IF(labstage=3,IF(labstatus=0,ROW(labstatus)-ROW('Lab dx'!$E$4)+1)),ROWS(H$29:H33))),"")</f>
        <v/>
      </c>
      <c r="I33" s="50" t="str">
        <f t="array" ref="I33">IF(ROWS(I$29:I33)&lt;=$G$31,INDEX('Lab dx'!$C$4:$C$13,SMALL(IF(labstage=3,IF(labstatus=1,ROW(labstatus)-ROW('Lab dx'!$F$4)+1)),ROWS(I$29:I33))),"")</f>
        <v/>
      </c>
      <c r="J33" s="51"/>
      <c r="K33" s="112" t="str">
        <f t="array" ref="K33">IF(ROWS(K$29:K33)&lt;=$J$30,INDEX(IEC!$C$4:$C$21,SMALL(IF(iecstage=3,IF(iecstatus=0,ROW(iecstatus)-ROW(IEC!$E$4)+1)),ROWS(K$29:K33))),"")</f>
        <v/>
      </c>
      <c r="L33" s="85" t="str">
        <f t="array" ref="L33">IF(ROWS(L$29:L33)&lt;=$J$31,INDEX(IEC!$C$4:$C$21,SMALL(IF(iecstage=3,IF(iecstatus=1,ROW(iecstatus)-ROW(IEC!$E$4)+1)),ROWS(L$29:L33))),"")</f>
        <v/>
      </c>
      <c r="M33" s="55"/>
      <c r="N33" s="116" t="str">
        <f t="array" ref="N33">IF(ROWS(N$29:N33)&lt;=$M$30,INDEX('Prev &amp; Ctrl'!$C$4:$C$28,SMALL(IF(prevstage=3,IF(prevstatus=0,ROW(prevstatus)-ROW('Prev &amp; Ctrl'!$E$4)+1)),ROWS(N$29:N33))),"")</f>
        <v>Facilities for veterinary observation of rabies-suspect biting dog have been established in sufficient number</v>
      </c>
      <c r="O33" s="50" t="str">
        <f t="array" ref="O33">IF(ROWS(O$29:O33)&lt;=$M$31,INDEX('Prev &amp; Ctrl'!$C$4:$C$28,SMALL(IF(prevstage=3,IF(prevstatus=1,ROW(prevstatus)-ROW('Prev &amp; Ctrl'!$E$4)+1)),ROWS(O$29:O33))),"")</f>
        <v/>
      </c>
      <c r="P33" s="51"/>
      <c r="Q33" s="112" t="str">
        <f t="array" ref="Q33">IF(ROWS(Q$29:Q33)&lt;=$P$30,INDEX('Dog popn'!$C$5:C34,SMALL(IF(dogstage=3,IF(dogstatus=0,ROW(dogstatus)-ROW('Dog popn'!$E$5)+1)),ROWS(Q$29:Q33))),"")</f>
        <v/>
      </c>
      <c r="R33" s="85" t="str">
        <f t="array" ref="R33">IF(ROWS(R$29:R33)&lt;=$P$31,INDEX('Dog popn'!$C$5:$C$7,SMALL(IF(dogstage=3,IF(dogstatus=1,ROW(dogstatus)-ROW('Dog popn'!$E$5)+1)),ROWS(R$29:R33))),"")</f>
        <v/>
      </c>
      <c r="S33" s="51"/>
      <c r="T33" s="116" t="str">
        <f t="array" ref="T33">IF(ROWS(T$29:T33)&lt;=$S$30,INDEX('Cross-cutting issues'!$C$4:$C$18,SMALL(IF(crossstage=3,IF(crossstatus=0,ROW(crossstatus)-ROW('Cross-cutting issues'!$E$4)+1)),ROWS(T$29:T33))),"")</f>
        <v/>
      </c>
      <c r="U33" s="50" t="str">
        <f t="array" ref="U33">IF(ROWS(U$29:U33)&lt;=$S$31,INDEX('Cross-cutting issues'!$C$4:$C$18,SMALL(IF(crossstage=3,IF(crossstatus=1,ROW(crossstatus)-ROW('Cross-cutting issues'!$E$4)+1)),ROWS(U$29:U33))),"")</f>
        <v/>
      </c>
    </row>
    <row r="34" spans="1:21" s="49" customFormat="1" ht="42">
      <c r="A34" s="215"/>
      <c r="B34" s="112" t="str">
        <f t="array" ref="B34">IF(ROWS(B$29:B34)&lt;=$A$30,INDEX(Legislation!$C$5:$C$16,SMALL(IF(STAGE=3,IF(STATUS=0,ROW(STATUS)-ROW(Legislation!$E$5)+1)),ROWS(B$29:B34))),"")</f>
        <v/>
      </c>
      <c r="C34" s="85" t="str">
        <f t="array" ref="C34">IF(ROWS(C$29:C34)&lt;=$A$31,INDEX(Legislation!$C$5:$C$16,SMALL(IF(STAGE=3,IF(STATUS=1,ROW(STATUS)-ROW(Legislation!$E$5)+1)),ROWS(C$29:C34))),"")</f>
        <v/>
      </c>
      <c r="D34" s="60"/>
      <c r="E34" s="112" t="str">
        <f t="array" ref="E34">IF(ROWS(E$29:E34)&lt;=$D$30,INDEX('Data coll &amp; ax'!$C$4:$C$12,SMALL(IF(datastage=3,IF(datastatus=0,ROW(datastatus)-ROW('Data coll &amp; ax'!$E$4)+1)),ROWS(E$29:E34))),"")</f>
        <v/>
      </c>
      <c r="F34" s="85" t="str">
        <f t="array" ref="F34">IF(ROWS(F$29:F34)&lt;=$D$31,INDEX('Data coll &amp; ax'!$C$4:$C$12,SMALL(IF(datastage=3,IF(datastatus=1,ROW(datastatus)-ROW('Data coll &amp; ax'!$E$4)+1)),ROWS(F$29:F34))),"")</f>
        <v/>
      </c>
      <c r="G34" s="51"/>
      <c r="H34" s="116" t="str">
        <f t="array" ref="H34">IF(ROWS(H$29:H34)&lt;=$G$30,INDEX('Lab dx'!$C$4:$C$13,SMALL(IF(labstage=3,IF(labstatus=0,ROW(labstatus)-ROW('Lab dx'!$E$4)+1)),ROWS(H$29:H34))),"")</f>
        <v/>
      </c>
      <c r="I34" s="50" t="str">
        <f t="array" ref="I34">IF(ROWS(I$29:I34)&lt;=$G$31,INDEX('Lab dx'!$C$4:$C$13,SMALL(IF(labstage=3,IF(labstatus=1,ROW(labstatus)-ROW('Lab dx'!$F$4)+1)),ROWS(I$29:I34))),"")</f>
        <v/>
      </c>
      <c r="J34" s="51"/>
      <c r="K34" s="112" t="str">
        <f t="array" ref="K34">IF(ROWS(K$29:K34)&lt;=$J$30,INDEX(IEC!$C$4:$C$21,SMALL(IF(iecstage=3,IF(iecstatus=0,ROW(iecstatus)-ROW(IEC!$E$4)+1)),ROWS(K$29:K34))),"")</f>
        <v/>
      </c>
      <c r="L34" s="85" t="str">
        <f t="array" ref="L34">IF(ROWS(L$29:L34)&lt;=$J$31,INDEX(IEC!$C$4:$C$21,SMALL(IF(iecstage=3,IF(iecstatus=1,ROW(iecstatus)-ROW(IEC!$E$4)+1)),ROWS(L$29:L34))),"")</f>
        <v/>
      </c>
      <c r="M34" s="55"/>
      <c r="N34" s="116" t="str">
        <f t="array" ref="N34">IF(ROWS(N$29:N34)&lt;=$M$30,INDEX('Prev &amp; Ctrl'!$C$4:$C$28,SMALL(IF(prevstage=3,IF(prevstatus=0,ROW(prevstatus)-ROW('Prev &amp; Ctrl'!$E$4)+1)),ROWS(N$29:N34))),"")</f>
        <v>Facilities for veterinary observation of rabies-suspect biting dog comply with international animal welfare regulations</v>
      </c>
      <c r="O34" s="50" t="str">
        <f t="array" ref="O34">IF(ROWS(O$29:O34)&lt;=$M$31,INDEX('Prev &amp; Ctrl'!$C$4:$C$28,SMALL(IF(prevstage=3,IF(prevstatus=1,ROW(prevstatus)-ROW('Prev &amp; Ctrl'!$E$4)+1)),ROWS(O$29:O34))),"")</f>
        <v/>
      </c>
      <c r="P34" s="51"/>
      <c r="Q34" s="112" t="str">
        <f t="array" ref="Q34">IF(ROWS(Q$29:Q34)&lt;=$P$30,INDEX('Dog popn'!$C$5:C35,SMALL(IF(dogstage=3,IF(dogstatus=0,ROW(dogstatus)-ROW('Dog popn'!$E$5)+1)),ROWS(Q$29:Q34))),"")</f>
        <v/>
      </c>
      <c r="R34" s="85" t="str">
        <f t="array" ref="R34">IF(ROWS(R$29:R34)&lt;=$P$31,INDEX('Dog popn'!$C$5:$C$7,SMALL(IF(dogstage=3,IF(dogstatus=1,ROW(dogstatus)-ROW('Dog popn'!$E$5)+1)),ROWS(R$29:R34))),"")</f>
        <v/>
      </c>
      <c r="S34" s="51"/>
      <c r="T34" s="116" t="str">
        <f t="array" ref="T34">IF(ROWS(T$29:T34)&lt;=$S$30,INDEX('Cross-cutting issues'!$C$4:$C$18,SMALL(IF(crossstage=3,IF(crossstatus=0,ROW(crossstatus)-ROW('Cross-cutting issues'!$E$4)+1)),ROWS(T$29:T34))),"")</f>
        <v/>
      </c>
      <c r="U34" s="50" t="str">
        <f t="array" ref="U34">IF(ROWS(U$29:U34)&lt;=$S$31,INDEX('Cross-cutting issues'!$C$4:$C$18,SMALL(IF(crossstage=3,IF(crossstatus=1,ROW(crossstatus)-ROW('Cross-cutting issues'!$E$4)+1)),ROWS(U$29:U34))),"")</f>
        <v/>
      </c>
    </row>
    <row r="35" spans="1:21" s="49" customFormat="1">
      <c r="A35" s="215"/>
      <c r="B35" s="112" t="str">
        <f t="array" ref="B35">IF(ROWS(B$29:B35)&lt;=$A$30,INDEX(Legislation!$C$5:$C$16,SMALL(IF(STAGE=3,IF(STATUS=0,ROW(STATUS)-ROW(Legislation!$E$5)+1)),ROWS(B$29:B35))),"")</f>
        <v/>
      </c>
      <c r="C35" s="85" t="str">
        <f t="array" ref="C35">IF(ROWS(C$29:C35)&lt;=$A$31,INDEX(Legislation!$C$5:$C$16,SMALL(IF(STAGE=3,IF(STATUS=1,ROW(STATUS)-ROW(Legislation!$E$5)+1)),ROWS(C$29:C35))),"")</f>
        <v/>
      </c>
      <c r="D35" s="60"/>
      <c r="E35" s="112" t="str">
        <f t="array" ref="E35">IF(ROWS(E$29:E35)&lt;=$D$30,INDEX('Data coll &amp; ax'!$C$4:$C$12,SMALL(IF(datastage=3,IF(datastatus=0,ROW(datastatus)-ROW('Data coll &amp; ax'!$E$4)+1)),ROWS(E$29:E35))),"")</f>
        <v/>
      </c>
      <c r="F35" s="85" t="str">
        <f t="array" ref="F35">IF(ROWS(F$29:F35)&lt;=$D$31,INDEX('Data coll &amp; ax'!$C$4:$C$12,SMALL(IF(datastage=3,IF(datastatus=1,ROW(datastatus)-ROW('Data coll &amp; ax'!$E$4)+1)),ROWS(F$29:F35))),"")</f>
        <v/>
      </c>
      <c r="G35" s="51"/>
      <c r="H35" s="116" t="str">
        <f t="array" ref="H35">IF(ROWS(H$29:H35)&lt;=$G$30,INDEX('Lab dx'!$C$4:$C$13,SMALL(IF(labstage=3,IF(labstatus=0,ROW(labstatus)-ROW('Lab dx'!$E$4)+1)),ROWS(H$29:H35))),"")</f>
        <v/>
      </c>
      <c r="I35" s="50" t="str">
        <f t="array" ref="I35">IF(ROWS(I$29:I35)&lt;=$G$31,INDEX('Lab dx'!$C$4:$C$13,SMALL(IF(labstage=3,IF(labstatus=1,ROW(labstatus)-ROW('Lab dx'!$F$4)+1)),ROWS(I$29:I35))),"")</f>
        <v/>
      </c>
      <c r="J35" s="51"/>
      <c r="K35" s="112" t="str">
        <f t="array" ref="K35">IF(ROWS(K$29:K35)&lt;=$J$30,INDEX(IEC!$C$4:$C$21,SMALL(IF(iecstage=3,IF(iecstatus=0,ROW(iecstatus)-ROW(IEC!$E$4)+1)),ROWS(K$29:K35))),"")</f>
        <v/>
      </c>
      <c r="L35" s="85" t="str">
        <f t="array" ref="L35">IF(ROWS(L$29:L35)&lt;=$J$31,INDEX(IEC!$C$4:$C$21,SMALL(IF(iecstage=3,IF(iecstatus=1,ROW(iecstatus)-ROW(IEC!$E$4)+1)),ROWS(L$29:L35))),"")</f>
        <v/>
      </c>
      <c r="M35" s="55"/>
      <c r="N35" s="116" t="str">
        <f t="array" ref="N35">IF(ROWS(N$29:N35)&lt;=$M$30,INDEX('Prev &amp; Ctrl'!$C$4:$C$28,SMALL(IF(prevstage=3,IF(prevstatus=0,ROW(prevstatus)-ROW('Prev &amp; Ctrl'!$E$4)+1)),ROWS(N$29:N35))),"")</f>
        <v/>
      </c>
      <c r="O35" s="50" t="str">
        <f t="array" ref="O35">IF(ROWS(O$29:O35)&lt;=$M$31,INDEX('Prev &amp; Ctrl'!$C$4:$C$28,SMALL(IF(prevstage=3,IF(prevstatus=1,ROW(prevstatus)-ROW('Prev &amp; Ctrl'!$E$4)+1)),ROWS(O$29:O35))),"")</f>
        <v/>
      </c>
      <c r="P35" s="51"/>
      <c r="Q35" s="112" t="str">
        <f t="array" ref="Q35">IF(ROWS(Q$29:Q35)&lt;=$P$30,INDEX('Dog popn'!$C$5:C36,SMALL(IF(dogstage=3,IF(dogstatus=0,ROW(dogstatus)-ROW('Dog popn'!$E$5)+1)),ROWS(Q$29:Q35))),"")</f>
        <v/>
      </c>
      <c r="R35" s="85" t="str">
        <f t="array" ref="R35">IF(ROWS(R$29:R35)&lt;=$P$31,INDEX('Dog popn'!$C$5:$C$7,SMALL(IF(dogstage=3,IF(dogstatus=1,ROW(dogstatus)-ROW('Dog popn'!$E$5)+1)),ROWS(R$29:R35))),"")</f>
        <v/>
      </c>
      <c r="S35" s="51"/>
      <c r="T35" s="116" t="str">
        <f t="array" ref="T35">IF(ROWS(T$29:T35)&lt;=$S$30,INDEX('Cross-cutting issues'!$C$4:$C$18,SMALL(IF(crossstage=3,IF(crossstatus=0,ROW(crossstatus)-ROW('Cross-cutting issues'!$E$4)+1)),ROWS(T$29:T35))),"")</f>
        <v/>
      </c>
      <c r="U35" s="50" t="str">
        <f t="array" ref="U35">IF(ROWS(U$29:U35)&lt;=$S$31,INDEX('Cross-cutting issues'!$C$4:$C$18,SMALL(IF(crossstage=3,IF(crossstatus=1,ROW(crossstatus)-ROW('Cross-cutting issues'!$E$4)+1)),ROWS(U$29:U35))),"")</f>
        <v/>
      </c>
    </row>
    <row r="36" spans="1:21" s="49" customFormat="1">
      <c r="A36" s="215"/>
      <c r="B36" s="112" t="str">
        <f t="array" ref="B36">IF(ROWS(B$29:B36)&lt;=$A$30,INDEX(Legislation!$C$5:$C$16,SMALL(IF(STAGE=3,IF(STATUS=0,ROW(STATUS)-ROW(Legislation!$E$5)+1)),ROWS(B$29:B36))),"")</f>
        <v/>
      </c>
      <c r="C36" s="85" t="str">
        <f t="array" ref="C36">IF(ROWS(C$29:C36)&lt;=$A$31,INDEX(Legislation!$C$5:$C$16,SMALL(IF(STAGE=3,IF(STATUS=1,ROW(STATUS)-ROW(Legislation!$E$5)+1)),ROWS(C$29:C36))),"")</f>
        <v/>
      </c>
      <c r="D36" s="60"/>
      <c r="E36" s="112" t="str">
        <f t="array" ref="E36">IF(ROWS(E$29:E36)&lt;=$D$30,INDEX('Data coll &amp; ax'!$C$4:$C$12,SMALL(IF(datastage=3,IF(datastatus=0,ROW(datastatus)-ROW('Data coll &amp; ax'!$E$4)+1)),ROWS(E$29:E36))),"")</f>
        <v/>
      </c>
      <c r="F36" s="85" t="str">
        <f t="array" ref="F36">IF(ROWS(F$29:F36)&lt;=$D$31,INDEX('Data coll &amp; ax'!$C$4:$C$12,SMALL(IF(datastage=3,IF(datastatus=1,ROW(datastatus)-ROW('Data coll &amp; ax'!$E$4)+1)),ROWS(F$29:F36))),"")</f>
        <v/>
      </c>
      <c r="G36" s="51"/>
      <c r="H36" s="116" t="str">
        <f t="array" ref="H36">IF(ROWS(H$29:H36)&lt;=$G$30,INDEX('Lab dx'!$C$4:$C$13,SMALL(IF(labstage=3,IF(labstatus=0,ROW(labstatus)-ROW('Lab dx'!$E$4)+1)),ROWS(H$29:H36))),"")</f>
        <v/>
      </c>
      <c r="I36" s="50" t="str">
        <f t="array" ref="I36">IF(ROWS(I$29:I36)&lt;=$G$31,INDEX('Lab dx'!$C$4:$C$13,SMALL(IF(labstage=3,IF(labstatus=1,ROW(labstatus)-ROW('Lab dx'!$F$4)+1)),ROWS(I$29:I36))),"")</f>
        <v/>
      </c>
      <c r="J36" s="51"/>
      <c r="K36" s="112" t="str">
        <f t="array" ref="K36">IF(ROWS(K$29:K36)&lt;=$J$30,INDEX(IEC!$C$4:$C$21,SMALL(IF(iecstage=3,IF(iecstatus=0,ROW(iecstatus)-ROW(IEC!$E$4)+1)),ROWS(K$29:K36))),"")</f>
        <v/>
      </c>
      <c r="L36" s="85" t="str">
        <f t="array" ref="L36">IF(ROWS(L$29:L36)&lt;=$J$31,INDEX(IEC!$C$4:$C$21,SMALL(IF(iecstage=3,IF(iecstatus=1,ROW(iecstatus)-ROW(IEC!$E$4)+1)),ROWS(L$29:L36))),"")</f>
        <v/>
      </c>
      <c r="M36" s="55"/>
      <c r="N36" s="116" t="str">
        <f t="array" ref="N36">IF(ROWS(N$29:N36)&lt;=$M$30,INDEX('Prev &amp; Ctrl'!$C$4:$C$28,SMALL(IF(prevstage=3,IF(prevstatus=0,ROW(prevstatus)-ROW('Prev &amp; Ctrl'!$E$4)+1)),ROWS(N$29:N36))),"")</f>
        <v/>
      </c>
      <c r="O36" s="50" t="str">
        <f t="array" ref="O36">IF(ROWS(O$29:O36)&lt;=$M$31,INDEX('Prev &amp; Ctrl'!$C$4:$C$28,SMALL(IF(prevstage=3,IF(prevstatus=1,ROW(prevstatus)-ROW('Prev &amp; Ctrl'!$E$4)+1)),ROWS(O$29:O36))),"")</f>
        <v/>
      </c>
      <c r="P36" s="51"/>
      <c r="Q36" s="112" t="str">
        <f t="array" ref="Q36">IF(ROWS(Q$29:Q36)&lt;=$P$30,INDEX('Dog popn'!$C$5:C37,SMALL(IF(dogstage=3,IF(dogstatus=0,ROW(dogstatus)-ROW('Dog popn'!$E$5)+1)),ROWS(Q$29:Q36))),"")</f>
        <v/>
      </c>
      <c r="R36" s="85" t="str">
        <f t="array" ref="R36">IF(ROWS(R$29:R36)&lt;=$P$31,INDEX('Dog popn'!$C$5:$C$7,SMALL(IF(dogstage=3,IF(dogstatus=1,ROW(dogstatus)-ROW('Dog popn'!$E$5)+1)),ROWS(R$29:R36))),"")</f>
        <v/>
      </c>
      <c r="S36" s="51"/>
      <c r="T36" s="116" t="str">
        <f t="array" ref="T36">IF(ROWS(T$29:T36)&lt;=$S$30,INDEX('Cross-cutting issues'!$C$4:$C$18,SMALL(IF(crossstage=3,IF(crossstatus=0,ROW(crossstatus)-ROW('Cross-cutting issues'!$E$4)+1)),ROWS(T$29:T36))),"")</f>
        <v/>
      </c>
      <c r="U36" s="50" t="str">
        <f t="array" ref="U36">IF(ROWS(U$29:U36)&lt;=$S$31,INDEX('Cross-cutting issues'!$C$4:$C$18,SMALL(IF(crossstage=3,IF(crossstatus=1,ROW(crossstatus)-ROW('Cross-cutting issues'!$E$4)+1)),ROWS(U$29:U36))),"")</f>
        <v/>
      </c>
    </row>
    <row r="37" spans="1:21" s="49" customFormat="1">
      <c r="A37" s="216"/>
      <c r="B37" s="113" t="str">
        <f t="array" ref="B37">IF(ROWS(B$29:B37)&lt;=$A$30,INDEX(Legislation!$C$5:$C$16,SMALL(IF(STAGE=3,IF(STATUS=0,ROW(STATUS)-ROW(Legislation!$E$5)+1)),ROWS(B$29:B37))),"")</f>
        <v/>
      </c>
      <c r="C37" s="86" t="str">
        <f t="array" ref="C37">IF(ROWS(C$29:C37)&lt;=$A$31,INDEX(Legislation!$C$5:$C$16,SMALL(IF(STAGE=3,IF(STATUS=1,ROW(STATUS)-ROW(Legislation!$E$5)+1)),ROWS(C$29:C37))),"")</f>
        <v/>
      </c>
      <c r="D37" s="61"/>
      <c r="E37" s="113" t="str">
        <f t="array" ref="E37">IF(ROWS(E$29:E37)&lt;=$D$30,INDEX('Data coll &amp; ax'!$C$4:$C$12,SMALL(IF(datastage=3,IF(datastatus=0,ROW(datastatus)-ROW('Data coll &amp; ax'!$E$4)+1)),ROWS(E$29:E37))),"")</f>
        <v/>
      </c>
      <c r="F37" s="86" t="str">
        <f t="array" ref="F37">IF(ROWS(F$29:F37)&lt;=$D$31,INDEX('Data coll &amp; ax'!$C$4:$C$12,SMALL(IF(datastage=3,IF(datastatus=1,ROW(datastatus)-ROW('Data coll &amp; ax'!$E$4)+1)),ROWS(F$29:F37))),"")</f>
        <v/>
      </c>
      <c r="G37" s="53"/>
      <c r="H37" s="117" t="str">
        <f t="array" ref="H37">IF(ROWS(H$29:H37)&lt;=$G$30,INDEX('Lab dx'!$C$4:$C$13,SMALL(IF(labstage=3,IF(labstatus=0,ROW(labstatus)-ROW('Lab dx'!$E$4)+1)),ROWS(H$29:H37))),"")</f>
        <v/>
      </c>
      <c r="I37" s="52" t="str">
        <f t="array" ref="I37">IF(ROWS(I$29:I37)&lt;=$G$31,INDEX('Lab dx'!$C$4:$C$13,SMALL(IF(labstage=3,IF(labstatus=1,ROW(labstatus)-ROW('Lab dx'!$F$4)+1)),ROWS(I$29:I37))),"")</f>
        <v/>
      </c>
      <c r="J37" s="53"/>
      <c r="K37" s="113" t="str">
        <f t="array" ref="K37">IF(ROWS(K$29:K37)&lt;=$J$30,INDEX(IEC!$C$4:$C$21,SMALL(IF(iecstage=3,IF(iecstatus=0,ROW(iecstatus)-ROW(IEC!$E$4)+1)),ROWS(K$29:K37))),"")</f>
        <v/>
      </c>
      <c r="L37" s="86" t="str">
        <f t="array" ref="L37">IF(ROWS(L$29:L37)&lt;=$J$31,INDEX(IEC!$C$4:$C$21,SMALL(IF(iecstage=3,IF(iecstatus=1,ROW(iecstatus)-ROW(IEC!$E$4)+1)),ROWS(L$29:L37))),"")</f>
        <v/>
      </c>
      <c r="M37" s="56"/>
      <c r="N37" s="117" t="str">
        <f t="array" ref="N37">IF(ROWS(N$29:N37)&lt;=$M$30,INDEX('Prev &amp; Ctrl'!$C$4:$C$28,SMALL(IF(prevstage=3,IF(prevstatus=0,ROW(prevstatus)-ROW('Prev &amp; Ctrl'!$E$4)+1)),ROWS(N$29:N37))),"")</f>
        <v/>
      </c>
      <c r="O37" s="52" t="str">
        <f t="array" ref="O37">IF(ROWS(O$29:O37)&lt;=$M$31,INDEX('Prev &amp; Ctrl'!$C$4:$C$28,SMALL(IF(prevstage=3,IF(prevstatus=1,ROW(prevstatus)-ROW('Prev &amp; Ctrl'!$E$4)+1)),ROWS(O$29:O37))),"")</f>
        <v/>
      </c>
      <c r="P37" s="53"/>
      <c r="Q37" s="113" t="str">
        <f t="array" ref="Q37">IF(ROWS(Q$29:Q37)&lt;=$P$30,INDEX('Dog popn'!$C$5:C38,SMALL(IF(dogstage=3,IF(dogstatus=0,ROW(dogstatus)-ROW('Dog popn'!$E$5)+1)),ROWS(Q$29:Q37))),"")</f>
        <v/>
      </c>
      <c r="R37" s="86" t="str">
        <f t="array" ref="R37">IF(ROWS(R$29:R37)&lt;=$P$31,INDEX('Dog popn'!$C$5:$C$7,SMALL(IF(dogstage=3,IF(dogstatus=1,ROW(dogstatus)-ROW('Dog popn'!$E$5)+1)),ROWS(R$29:R37))),"")</f>
        <v/>
      </c>
      <c r="S37" s="53"/>
      <c r="T37" s="117" t="str">
        <f t="array" ref="T37">IF(ROWS(T$29:T37)&lt;=$S$30,INDEX('Cross-cutting issues'!$C$4:$C$18,SMALL(IF(crossstage=3,IF(crossstatus=0,ROW(crossstatus)-ROW('Cross-cutting issues'!$E$4)+1)),ROWS(T$29:T37))),"")</f>
        <v/>
      </c>
      <c r="U37" s="52" t="str">
        <f t="array" ref="U37">IF(ROWS(U$29:U37)&lt;=$S$31,INDEX('Cross-cutting issues'!$C$4:$C$18,SMALL(IF(crossstage=3,IF(crossstatus=1,ROW(crossstatus)-ROW('Cross-cutting issues'!$E$4)+1)),ROWS(U$29:U37))),"")</f>
        <v/>
      </c>
    </row>
    <row r="38" spans="1:21" s="49" customFormat="1" ht="56">
      <c r="A38" s="210">
        <v>4</v>
      </c>
      <c r="B38" s="110" t="str">
        <f t="array" ref="B38">IF(ROWS(B$38:B38)&lt;=$A$39,INDEX(Legislation!$C$5:$C$16,SMALL(IF(STAGE=4,IF(STATUS=0,ROW(STATUS)-ROW(Legislation!$E$5)+1)),ROWS(B$38:B38))),"")</f>
        <v/>
      </c>
      <c r="C38" s="84" t="str">
        <f t="array" ref="C38">IF(ROWS(C$38:C38)&lt;=$A$40,INDEX(Legislation!$C$5:$C$16,SMALL(IF(STAGE=4,IF(STATUS=1,ROW(STATUS)-ROW(Legislation!$E$5)+1)),ROWS(C$38:C38))),"")</f>
        <v/>
      </c>
      <c r="D38" s="59"/>
      <c r="E38" s="110" t="str">
        <f t="array" ref="E38">IF(ROWS(E$38:E38)&lt;=$D$39,INDEX('Data coll &amp; ax'!$C$4:$C$12,SMALL(IF(datastage=4,IF(datastatus=0,ROW(datastatus)-ROW('Data coll &amp; ax'!$E$4)+1)),ROWS(E$38:E38))),"")</f>
        <v/>
      </c>
      <c r="F38" s="84" t="str">
        <f t="array" ref="F38">IF(ROWS(F$38:F38)&lt;=$D$40,INDEX('Data coll &amp; ax'!$C$4:$C$12,SMALL(IF(datastage=4,IF(datastatus=1,ROW(datastatus)-ROW('Data coll &amp; ax'!$E$4)+1)),ROWS(F$38:F38))),"")</f>
        <v/>
      </c>
      <c r="G38" s="48"/>
      <c r="H38" s="115" t="str">
        <f t="array" ref="H38">IF(ROWS(H$38:H38)&lt;=$G$39,INDEX('Lab dx'!$C$4:$C$13,SMALL(IF(labstage=4,IF(labstatus=0,ROW(labstatus)-ROW('Lab dx'!$E$4)+1)),ROWS(H$38:H38))),"")</f>
        <v/>
      </c>
      <c r="I38" s="47" t="str">
        <f t="array" ref="I38">IF(ROWS(I$38:I38)&lt;=$G$40,INDEX('Lab dx'!$C$4:$C$13,SMALL(IF(labstage=4,IF(labstatus=1,ROW(labstatus)-ROW('Lab dx'!$F$4)+1)),ROWS(I$38:I38))),"")</f>
        <v/>
      </c>
      <c r="J38" s="48"/>
      <c r="K38" s="110" t="str">
        <f t="array" ref="K38">IF(ROWS(K$38:K38)&lt;=$J$39,INDEX(IEC!$C$4:$C$21,SMALL(IF(iecstage=4,IF(iecstatus=0,ROW(iecstatus)-ROW(IEC!$E$4)+1)),ROWS(K$38:K38))),"")</f>
        <v>Continue awareness programmes, have been revisited to focus on maintenance of freedom and elimination efforts</v>
      </c>
      <c r="L38" s="84" t="str">
        <f t="array" ref="L38">IF(ROWS(L$38:L38)&lt;=$J$40,INDEX(IEC!$C$4:$C$21,SMALL(IF(iecstage=4,IF(iecstatus=1,ROW(iecstatus)-ROW(IEC!$E$4)+1)),ROWS(L$38:L38))),"")</f>
        <v/>
      </c>
      <c r="M38" s="54"/>
      <c r="N38" s="115" t="str">
        <f t="array" ref="N38">IF(ROWS(N$38:N38)&lt;=$M$39,INDEX('Prev &amp; Ctrl'!$C$4:$C$28,SMALL(IF(prevstage=4,IF(prevstatus=0,ROW(prevstatus)-ROW('Prev &amp; Ctrl'!$E$4)+1)),ROWS(N$38:N38))),"")</f>
        <v>Dog vaccination campaigns are maintained in zones where dog rabies is still present or where justified otherwise</v>
      </c>
      <c r="O38" s="47" t="str">
        <f t="array" ref="O38">IF(ROWS(O$38:O38)&lt;=$M$40,INDEX('Prev &amp; Ctrl'!$C$4:$C$28,SMALL(IF(prevstage=4,IF(prevstatus=1,ROW(prevstatus)-ROW('Prev &amp; Ctrl'!$E$4)+1)),ROWS(O$38:O38))),"")</f>
        <v/>
      </c>
      <c r="P38" s="48"/>
      <c r="Q38" s="110" t="str">
        <f t="array" ref="Q38">IF(ROWS(Q$29:Q38)&lt;=$P$39,INDEX('Dog popn'!$C$5:C39,SMALL(IF(dogstage=4,IF(dogstatus=0,ROW(dogstatus)-ROW('Dog popn'!$E$5)+1)),ROWS(Q$38:Q38))),"")</f>
        <v/>
      </c>
      <c r="R38" s="84" t="str">
        <f t="array" ref="R38">IF(ROWS(R$38:R38)&lt;=$P$40,INDEX('Dog popn'!$C$5:$C$7,SMALL(IF(dogstage=4,IF(dogstatus=1,ROW(dogstatus)-ROW('Dog popn'!$E$5)+1)),ROWS(R$38:R38))),"")</f>
        <v/>
      </c>
      <c r="S38" s="48"/>
      <c r="T38" s="115" t="str">
        <f t="array" ref="T38">IF(ROWS(T$38:T38)&lt;=$S$39,INDEX('Cross-cutting issues'!$C$4:$C$18,SMALL(IF(crossstage=4,IF(crossstatus=0,ROW(crossstatus)-ROW('Cross-cutting issues'!$E$4)+1)),ROWS(T$38:T38))),"")</f>
        <v>Epidemiology situation (including livestock and wildlife, if applicable) has been reviewed and the national strategy adapted as needed</v>
      </c>
      <c r="U38" s="47" t="str">
        <f t="array" ref="U38">IF(ROWS(U$38:U38)&lt;=$S$40,INDEX('Cross-cutting issues'!$C$4:$C$18,SMALL(IF(crossstage=4,IF(crossstatus=1,ROW(crossstatus)-ROW('Cross-cutting issues'!$E$4)+1)),ROWS(U$38:U38))),"")</f>
        <v/>
      </c>
    </row>
    <row r="39" spans="1:21" s="49" customFormat="1" ht="42">
      <c r="A39" s="214">
        <f>SUMPRODUCT((STAGE=4)*(STATUS=0))</f>
        <v>0</v>
      </c>
      <c r="B39" s="112" t="str">
        <f t="array" ref="B39">IF(ROWS(B$38:B39)&lt;=$A$39,INDEX(Legislation!$C$5:$C$16,SMALL(IF(STAGE=4,IF(STATUS=0,ROW(STATUS)-ROW(Legislation!$E$5)+1)),ROWS(B$38:B39))),"")</f>
        <v/>
      </c>
      <c r="C39" s="85" t="str">
        <f t="array" ref="C39">IF(ROWS(C$38:C39)&lt;=$A$40,INDEX(Legislation!$C$5:$C$16,SMALL(IF(STAGE=4,IF(STATUS=1,ROW(STATUS)-ROW(Legislation!$E$5)+1)),ROWS(C$38:C39))),"")</f>
        <v/>
      </c>
      <c r="D39" s="60">
        <f>SUMPRODUCT((datastage=4)*(datastatus=0))</f>
        <v>0</v>
      </c>
      <c r="E39" s="112" t="str">
        <f t="array" ref="E39">IF(ROWS(E$38:E39)&lt;=$D$39,INDEX('Data coll &amp; ax'!$C$4:$C$12,SMALL(IF(datastage=4,IF(datastatus=0,ROW(datastatus)-ROW('Data coll &amp; ax'!$E$4)+1)),ROWS(E$38:E39))),"")</f>
        <v/>
      </c>
      <c r="F39" s="85" t="str">
        <f t="array" ref="F39">IF(ROWS(F$38:F39)&lt;=$D$40,INDEX('Data coll &amp; ax'!$C$4:$C$12,SMALL(IF(datastage=4,IF(datastatus=1,ROW(datastatus)-ROW('Data coll &amp; ax'!$E$4)+1)),ROWS(F$38:F39))),"")</f>
        <v/>
      </c>
      <c r="G39" s="51">
        <f>SUMPRODUCT((labstage=4)*(labstatus=0))</f>
        <v>0</v>
      </c>
      <c r="H39" s="116" t="str">
        <f t="array" ref="H39">IF(ROWS(H$38:H39)&lt;=$G$39,INDEX('Lab dx'!$C$4:$C$13,SMALL(IF(labstage=4,IF(labstatus=0,ROW(labstatus)-ROW('Lab dx'!$E$4)+1)),ROWS(H$38:H39))),"")</f>
        <v/>
      </c>
      <c r="I39" s="50" t="str">
        <f t="array" ref="I39">IF(ROWS(I$38:I39)&lt;=$G$40,INDEX('Lab dx'!$C$4:$C$13,SMALL(IF(labstage=4,IF(labstatus=1,ROW(labstatus)-ROW('Lab dx'!$F$4)+1)),ROWS(I$38:I39))),"")</f>
        <v/>
      </c>
      <c r="J39" s="51">
        <f>SUMPRODUCT((iecstage=4)*(iecstatus=0))</f>
        <v>1</v>
      </c>
      <c r="K39" s="112" t="str">
        <f t="array" ref="K39">IF(ROWS(K$38:K39)&lt;=$J$39,INDEX(IEC!$C$4:$C$21,SMALL(IF(iecstage=4,IF(iecstatus=0,ROW(iecstatus)-ROW(IEC!$E$4)+1)),ROWS(K$38:K39))),"")</f>
        <v/>
      </c>
      <c r="L39" s="85" t="str">
        <f t="array" ref="L39">IF(ROWS(L$38:L39)&lt;=$J$40,INDEX(IEC!$C$4:$C$21,SMALL(IF(iecstage=4,IF(iecstatus=1,ROW(iecstatus)-ROW(IEC!$E$4)+1)),ROWS(L$38:L39))),"")</f>
        <v/>
      </c>
      <c r="M39" s="55">
        <f>SUMPRODUCT((prevstage=4)*(prevstatus=0))</f>
        <v>5</v>
      </c>
      <c r="N39" s="116" t="str">
        <f t="array" ref="N39">IF(ROWS(N$38:N39)&lt;=$M$39,INDEX('Prev &amp; Ctrl'!$C$4:$C$28,SMALL(IF(prevstage=4,IF(prevstatus=0,ROW(prevstatus)-ROW('Prev &amp; Ctrl'!$E$4)+1)),ROWS(N$38:N39))),"")</f>
        <v>Measures applied in designated dog-rabies free zones</v>
      </c>
      <c r="O39" s="50" t="str">
        <f t="array" ref="O39">IF(ROWS(O$38:O39)&lt;=$M$40,INDEX('Prev &amp; Ctrl'!$C$4:$C$28,SMALL(IF(prevstage=4,IF(prevstatus=1,ROW(prevstatus)-ROW('Prev &amp; Ctrl'!$E$4)+1)),ROWS(O$38:O39))),"")</f>
        <v/>
      </c>
      <c r="P39" s="51">
        <f>SUMPRODUCT((dogstage=4)*(dogstatus=0))</f>
        <v>0</v>
      </c>
      <c r="Q39" s="112" t="str">
        <f t="array" ref="Q39">IF(ROWS(Q$29:Q39)&lt;=$P$39,INDEX('Dog popn'!$C$5:C40,SMALL(IF(dogstage=4,IF(dogstatus=0,ROW(dogstatus)-ROW('Dog popn'!$E$5)+1)),ROWS(Q$38:Q39))),"")</f>
        <v/>
      </c>
      <c r="R39" s="85" t="str">
        <f t="array" ref="R39">IF(ROWS(R$38:R39)&lt;=$P$40,INDEX('Dog popn'!$C$5:$C$7,SMALL(IF(dogstage=4,IF(dogstatus=1,ROW(dogstatus)-ROW('Dog popn'!$E$5)+1)),ROWS(R$38:R39))),"")</f>
        <v/>
      </c>
      <c r="S39" s="51">
        <f>SUMPRODUCT((crossstage=4)*(crossstatus=0))</f>
        <v>3</v>
      </c>
      <c r="T39" s="116" t="str">
        <f t="array" ref="T39">IF(ROWS(T$38:T39)&lt;=$S$39,INDEX('Cross-cutting issues'!$C$4:$C$18,SMALL(IF(crossstage=4,IF(crossstatus=0,ROW(crossstatus)-ROW('Cross-cutting issues'!$E$4)+1)),ROWS(T$38:T39))),"")</f>
        <v>Dialogue with neighbouring or other countries has started, establishment of a cross-border plan</v>
      </c>
      <c r="U39" s="50" t="str">
        <f t="array" ref="U39">IF(ROWS(U$38:U39)&lt;=$S$40,INDEX('Cross-cutting issues'!$C$4:$C$18,SMALL(IF(crossstage=4,IF(crossstatus=1,ROW(crossstatus)-ROW('Cross-cutting issues'!$E$4)+1)),ROWS(U$38:U39))),"")</f>
        <v/>
      </c>
    </row>
    <row r="40" spans="1:21" s="49" customFormat="1" ht="56">
      <c r="A40" s="214">
        <f>SUMPRODUCT((STAGE=4)*(STATUS=1))</f>
        <v>0</v>
      </c>
      <c r="B40" s="112" t="str">
        <f t="array" ref="B40">IF(ROWS(B$38:B40)&lt;=$A$39,INDEX(Legislation!$C$5:$C$16,SMALL(IF(STAGE=4,IF(STATUS=0,ROW(STATUS)-ROW(Legislation!$E$5)+1)),ROWS(B$38:B40))),"")</f>
        <v/>
      </c>
      <c r="C40" s="85" t="str">
        <f t="array" ref="C40">IF(ROWS(C$38:C40)&lt;=$A$40,INDEX(Legislation!$C$5:$C$16,SMALL(IF(STAGE=4,IF(STATUS=1,ROW(STATUS)-ROW(Legislation!$E$5)+1)),ROWS(C$38:C40))),"")</f>
        <v/>
      </c>
      <c r="D40" s="60">
        <f>SUMPRODUCT((datastage=4)*(datastatus=1))</f>
        <v>0</v>
      </c>
      <c r="E40" s="112" t="str">
        <f t="array" ref="E40">IF(ROWS(E$38:E40)&lt;=$D$39,INDEX('Data coll &amp; ax'!$C$4:$C$12,SMALL(IF(datastage=4,IF(datastatus=0,ROW(datastatus)-ROW('Data coll &amp; ax'!$E$4)+1)),ROWS(E$38:E40))),"")</f>
        <v/>
      </c>
      <c r="F40" s="85" t="str">
        <f t="array" ref="F40">IF(ROWS(F$38:F40)&lt;=$D$40,INDEX('Data coll &amp; ax'!$C$4:$C$12,SMALL(IF(datastage=4,IF(datastatus=1,ROW(datastatus)-ROW('Data coll &amp; ax'!$E$4)+1)),ROWS(F$38:F40))),"")</f>
        <v/>
      </c>
      <c r="G40" s="51">
        <f>SUMPRODUCT((labstage=4)*(labstatus=1))</f>
        <v>0</v>
      </c>
      <c r="H40" s="116" t="str">
        <f t="array" ref="H40">IF(ROWS(H$38:H40)&lt;=$G$39,INDEX('Lab dx'!$C$4:$C$13,SMALL(IF(labstage=4,IF(labstatus=0,ROW(labstatus)-ROW('Lab dx'!$E$4)+1)),ROWS(H$38:H40))),"")</f>
        <v/>
      </c>
      <c r="I40" s="50" t="str">
        <f t="array" ref="I40">IF(ROWS(I$38:I40)&lt;=$G$40,INDEX('Lab dx'!$C$4:$C$13,SMALL(IF(labstage=4,IF(labstatus=1,ROW(labstatus)-ROW('Lab dx'!$F$4)+1)),ROWS(I$38:I40))),"")</f>
        <v/>
      </c>
      <c r="J40" s="51">
        <f>SUMPRODUCT((iecstage=4)*(iecstatus=1))</f>
        <v>0</v>
      </c>
      <c r="K40" s="112" t="str">
        <f t="array" ref="K40">IF(ROWS(K$38:K40)&lt;=$J$39,INDEX(IEC!$C$4:$C$21,SMALL(IF(iecstage=4,IF(iecstatus=0,ROW(iecstatus)-ROW(IEC!$E$4)+1)),ROWS(K$38:K40))),"")</f>
        <v/>
      </c>
      <c r="L40" s="85" t="str">
        <f t="array" ref="L40">IF(ROWS(L$38:L40)&lt;=$J$40,INDEX(IEC!$C$4:$C$21,SMALL(IF(iecstage=4,IF(iecstatus=1,ROW(iecstatus)-ROW(IEC!$E$4)+1)),ROWS(L$38:L40))),"")</f>
        <v/>
      </c>
      <c r="M40" s="55">
        <f>SUMPRODUCT((prevstage=4)*(prevstatus=1))</f>
        <v>0</v>
      </c>
      <c r="N40" s="116" t="str">
        <f t="array" ref="N40">IF(ROWS(N$38:N40)&lt;=$M$39,INDEX('Prev &amp; Ctrl'!$C$4:$C$28,SMALL(IF(prevstage=4,IF(prevstatus=0,ROW(prevstatus)-ROW('Prev &amp; Ctrl'!$E$4)+1)),ROWS(N$38:N40))),"")</f>
        <v>Areas free of dog rabies and absence of human rabies have been assessed and verified in accordance with the national rabies control and prevention strategy</v>
      </c>
      <c r="O40" s="50" t="str">
        <f t="array" ref="O40">IF(ROWS(O$38:O40)&lt;=$M$40,INDEX('Prev &amp; Ctrl'!$C$4:$C$28,SMALL(IF(prevstage=4,IF(prevstatus=1,ROW(prevstatus)-ROW('Prev &amp; Ctrl'!$E$4)+1)),ROWS(O$38:O40))),"")</f>
        <v/>
      </c>
      <c r="P40" s="51">
        <f>SUMPRODUCT((dogstage=4)*(dogstatus=1))</f>
        <v>0</v>
      </c>
      <c r="Q40" s="112" t="str">
        <f t="array" ref="Q40">IF(ROWS(Q$29:Q40)&lt;=$P$39,INDEX('Dog popn'!$C$5:C41,SMALL(IF(dogstage=4,IF(dogstatus=0,ROW(dogstatus)-ROW('Dog popn'!$E$5)+1)),ROWS(Q$38:Q40))),"")</f>
        <v/>
      </c>
      <c r="R40" s="85" t="str">
        <f t="array" ref="R40">IF(ROWS(R$38:R40)&lt;=$P$40,INDEX('Dog popn'!$C$5:$C$7,SMALL(IF(dogstage=4,IF(dogstatus=1,ROW(dogstatus)-ROW('Dog popn'!$E$5)+1)),ROWS(R$38:R40))),"")</f>
        <v/>
      </c>
      <c r="S40" s="51">
        <f>SUMPRODUCT((crossstage=4)*(crossstatus=1))</f>
        <v>0</v>
      </c>
      <c r="T40" s="116" t="str">
        <f t="array" ref="T40">IF(ROWS(T$38:T40)&lt;=$S$39,INDEX('Cross-cutting issues'!$C$4:$C$18,SMALL(IF(crossstage=4,IF(crossstatus=0,ROW(crossstatus)-ROW('Cross-cutting issues'!$E$4)+1)),ROWS(T$38:T40))),"")</f>
        <v>Veterinary border inspection and quarantine measures are fully implemented in accordance with national regulations</v>
      </c>
      <c r="U40" s="50" t="str">
        <f t="array" ref="U40">IF(ROWS(U$38:U40)&lt;=$S$40,INDEX('Cross-cutting issues'!$C$4:$C$18,SMALL(IF(crossstage=4,IF(crossstatus=1,ROW(crossstatus)-ROW('Cross-cutting issues'!$E$4)+1)),ROWS(U$38:U40))),"")</f>
        <v/>
      </c>
    </row>
    <row r="41" spans="1:21" s="49" customFormat="1" ht="28">
      <c r="A41" s="215"/>
      <c r="B41" s="112" t="str">
        <f t="array" ref="B41">IF(ROWS(B$38:B41)&lt;=$A$39,INDEX(Legislation!$C$5:$C$16,SMALL(IF(STAGE=4,IF(STATUS=0,ROW(STATUS)-ROW(Legislation!$E$5)+1)),ROWS(B$38:B41))),"")</f>
        <v/>
      </c>
      <c r="C41" s="85" t="str">
        <f t="array" ref="C41">IF(ROWS(C$38:C41)&lt;=$A$40,INDEX(Legislation!$C$5:$C$16,SMALL(IF(STAGE=4,IF(STATUS=1,ROW(STATUS)-ROW(Legislation!$E$5)+1)),ROWS(C$38:C41))),"")</f>
        <v/>
      </c>
      <c r="D41" s="60"/>
      <c r="E41" s="112" t="str">
        <f t="array" ref="E41">IF(ROWS(E$38:E41)&lt;=$D$39,INDEX('Data coll &amp; ax'!$C$4:$C$12,SMALL(IF(datastage=4,IF(datastatus=0,ROW(datastatus)-ROW('Data coll &amp; ax'!$E$4)+1)),ROWS(E$38:E41))),"")</f>
        <v/>
      </c>
      <c r="F41" s="85" t="str">
        <f t="array" ref="F41">IF(ROWS(F$38:F41)&lt;=$D$40,INDEX('Data coll &amp; ax'!$C$4:$C$12,SMALL(IF(datastage=4,IF(datastatus=1,ROW(datastatus)-ROW('Data coll &amp; ax'!$E$4)+1)),ROWS(F$38:F41))),"")</f>
        <v/>
      </c>
      <c r="G41" s="51"/>
      <c r="H41" s="116" t="str">
        <f t="array" ref="H41">IF(ROWS(H$38:H41)&lt;=$G$39,INDEX('Lab dx'!$C$4:$C$13,SMALL(IF(labstage=4,IF(labstatus=0,ROW(labstatus)-ROW('Lab dx'!$E$4)+1)),ROWS(H$38:H41))),"")</f>
        <v/>
      </c>
      <c r="I41" s="50" t="str">
        <f t="array" ref="I41">IF(ROWS(I$38:I41)&lt;=$G$40,INDEX('Lab dx'!$C$4:$C$13,SMALL(IF(labstage=4,IF(labstatus=1,ROW(labstatus)-ROW('Lab dx'!$F$4)+1)),ROWS(I$38:I41))),"")</f>
        <v/>
      </c>
      <c r="J41" s="51"/>
      <c r="K41" s="112" t="str">
        <f t="array" ref="K41">IF(ROWS(K$38:K41)&lt;=$J$39,INDEX(IEC!$C$4:$C$21,SMALL(IF(iecstage=4,IF(iecstatus=0,ROW(iecstatus)-ROW(IEC!$E$4)+1)),ROWS(K$38:K41))),"")</f>
        <v/>
      </c>
      <c r="L41" s="85" t="str">
        <f t="array" ref="L41">IF(ROWS(L$38:L41)&lt;=$J$40,INDEX(IEC!$C$4:$C$21,SMALL(IF(iecstage=4,IF(iecstatus=1,ROW(iecstatus)-ROW(IEC!$E$4)+1)),ROWS(L$38:L41))),"")</f>
        <v/>
      </c>
      <c r="M41" s="55"/>
      <c r="N41" s="116" t="str">
        <f t="array" ref="N41">IF(ROWS(N$38:N41)&lt;=$M$39,INDEX('Prev &amp; Ctrl'!$C$4:$C$28,SMALL(IF(prevstage=4,IF(prevstatus=0,ROW(prevstatus)-ROW('Prev &amp; Ctrl'!$E$4)+1)),ROWS(N$38:N41))),"")</f>
        <v>All professionals at risk of contracting rabies have been immunized</v>
      </c>
      <c r="O41" s="50" t="str">
        <f t="array" ref="O41">IF(ROWS(O$38:O41)&lt;=$M$40,INDEX('Prev &amp; Ctrl'!$C$4:$C$28,SMALL(IF(prevstage=4,IF(prevstatus=1,ROW(prevstatus)-ROW('Prev &amp; Ctrl'!$E$4)+1)),ROWS(O$38:O41))),"")</f>
        <v/>
      </c>
      <c r="P41" s="51"/>
      <c r="Q41" s="112" t="str">
        <f t="array" ref="Q41">IF(ROWS(Q$29:Q41)&lt;=$P$39,INDEX('Dog popn'!$C$5:C42,SMALL(IF(dogstage=4,IF(dogstatus=0,ROW(dogstatus)-ROW('Dog popn'!$E$5)+1)),ROWS(Q$38:Q41))),"")</f>
        <v/>
      </c>
      <c r="R41" s="85" t="str">
        <f t="array" ref="R41">IF(ROWS(R$38:R41)&lt;=$P$40,INDEX('Dog popn'!$C$5:$C$7,SMALL(IF(dogstage=4,IF(dogstatus=1,ROW(dogstatus)-ROW('Dog popn'!$E$5)+1)),ROWS(R$38:R41))),"")</f>
        <v/>
      </c>
      <c r="S41" s="51"/>
      <c r="T41" s="116" t="str">
        <f t="array" ref="T41">IF(ROWS(T$38:T41)&lt;=$S$39,INDEX('Cross-cutting issues'!$C$4:$C$18,SMALL(IF(crossstage=4,IF(crossstatus=0,ROW(crossstatus)-ROW('Cross-cutting issues'!$E$4)+1)),ROWS(T$38:T41))),"")</f>
        <v/>
      </c>
      <c r="U41" s="50" t="str">
        <f t="array" ref="U41">IF(ROWS(U$38:U41)&lt;=$S$40,INDEX('Cross-cutting issues'!$C$4:$C$18,SMALL(IF(crossstage=4,IF(crossstatus=1,ROW(crossstatus)-ROW('Cross-cutting issues'!$E$4)+1)),ROWS(U$38:U41))),"")</f>
        <v/>
      </c>
    </row>
    <row r="42" spans="1:21" s="49" customFormat="1" ht="42">
      <c r="A42" s="215"/>
      <c r="B42" s="112" t="str">
        <f t="array" ref="B42">IF(ROWS(B$38:B42)&lt;=$A$39,INDEX(Legislation!$C$5:$C$16,SMALL(IF(STAGE=4,IF(STATUS=0,ROW(STATUS)-ROW(Legislation!$E$5)+1)),ROWS(B$38:B42))),"")</f>
        <v/>
      </c>
      <c r="C42" s="85" t="str">
        <f t="array" ref="C42">IF(ROWS(C$38:C42)&lt;=$A$40,INDEX(Legislation!$C$5:$C$16,SMALL(IF(STAGE=4,IF(STATUS=1,ROW(STATUS)-ROW(Legislation!$E$5)+1)),ROWS(C$38:C42))),"")</f>
        <v/>
      </c>
      <c r="D42" s="60"/>
      <c r="E42" s="112" t="str">
        <f t="array" ref="E42">IF(ROWS(E$38:E42)&lt;=$D$39,INDEX('Data coll &amp; ax'!$C$4:$C$12,SMALL(IF(datastage=4,IF(datastatus=0,ROW(datastatus)-ROW('Data coll &amp; ax'!$E$4)+1)),ROWS(E$38:E42))),"")</f>
        <v/>
      </c>
      <c r="F42" s="85" t="str">
        <f t="array" ref="F42">IF(ROWS(F$38:F42)&lt;=$D$40,INDEX('Data coll &amp; ax'!$C$4:$C$12,SMALL(IF(datastage=4,IF(datastatus=1,ROW(datastatus)-ROW('Data coll &amp; ax'!$E$4)+1)),ROWS(F$38:F42))),"")</f>
        <v/>
      </c>
      <c r="G42" s="51"/>
      <c r="H42" s="116" t="str">
        <f t="array" ref="H42">IF(ROWS(H$38:H42)&lt;=$G$39,INDEX('Lab dx'!$C$4:$C$13,SMALL(IF(labstage=4,IF(labstatus=0,ROW(labstatus)-ROW('Lab dx'!$E$4)+1)),ROWS(H$38:H42))),"")</f>
        <v/>
      </c>
      <c r="I42" s="50" t="str">
        <f t="array" ref="I42">IF(ROWS(I$38:I42)&lt;=$G$40,INDEX('Lab dx'!$C$4:$C$13,SMALL(IF(labstage=4,IF(labstatus=1,ROW(labstatus)-ROW('Lab dx'!$F$4)+1)),ROWS(I$38:I42))),"")</f>
        <v/>
      </c>
      <c r="J42" s="51"/>
      <c r="K42" s="112" t="str">
        <f t="array" ref="K42">IF(ROWS(K$38:K42)&lt;=$J$39,INDEX(IEC!$C$4:$C$21,SMALL(IF(iecstage=4,IF(iecstatus=0,ROW(iecstatus)-ROW(IEC!$E$4)+1)),ROWS(K$38:K42))),"")</f>
        <v/>
      </c>
      <c r="L42" s="85" t="str">
        <f t="array" ref="L42">IF(ROWS(L$38:L42)&lt;=$J$40,INDEX(IEC!$C$4:$C$21,SMALL(IF(iecstage=4,IF(iecstatus=1,ROW(iecstatus)-ROW(IEC!$E$4)+1)),ROWS(L$38:L42))),"")</f>
        <v/>
      </c>
      <c r="M42" s="55"/>
      <c r="N42" s="116" t="str">
        <f t="array" ref="N42">IF(ROWS(N$38:N42)&lt;=$M$39,INDEX('Prev &amp; Ctrl'!$C$4:$C$28,SMALL(IF(prevstage=4,IF(prevstatus=0,ROW(prevstatus)-ROW('Prev &amp; Ctrl'!$E$4)+1)),ROWS(N$38:N42))),"")</f>
        <v>A long-term plan, including emergency response to outbreaks following re-introduction has been developed</v>
      </c>
      <c r="O42" s="50" t="str">
        <f t="array" ref="O42">IF(ROWS(O$38:O42)&lt;=$M$40,INDEX('Prev &amp; Ctrl'!$C$4:$C$28,SMALL(IF(prevstage=4,IF(prevstatus=1,ROW(prevstatus)-ROW('Prev &amp; Ctrl'!$E$4)+1)),ROWS(O$38:O42))),"")</f>
        <v/>
      </c>
      <c r="P42" s="51"/>
      <c r="Q42" s="112" t="str">
        <f t="array" ref="Q42">IF(ROWS(Q$29:Q42)&lt;=$P$39,INDEX('Dog popn'!$C$5:C43,SMALL(IF(dogstage=4,IF(dogstatus=0,ROW(dogstatus)-ROW('Dog popn'!$E$5)+1)),ROWS(Q$38:Q42))),"")</f>
        <v/>
      </c>
      <c r="R42" s="85" t="str">
        <f t="array" ref="R42">IF(ROWS(R$38:R42)&lt;=$P$40,INDEX('Dog popn'!$C$5:$C$7,SMALL(IF(dogstage=4,IF(dogstatus=1,ROW(dogstatus)-ROW('Dog popn'!$E$5)+1)),ROWS(R$38:R42))),"")</f>
        <v/>
      </c>
      <c r="S42" s="51"/>
      <c r="T42" s="116" t="str">
        <f t="array" ref="T42">IF(ROWS(T$38:T42)&lt;=$S$39,INDEX('Cross-cutting issues'!$C$4:$C$18,SMALL(IF(crossstage=4,IF(crossstatus=0,ROW(crossstatus)-ROW('Cross-cutting issues'!$E$4)+1)),ROWS(T$38:T42))),"")</f>
        <v/>
      </c>
      <c r="U42" s="50" t="str">
        <f t="array" ref="U42">IF(ROWS(U$38:U42)&lt;=$S$40,INDEX('Cross-cutting issues'!$C$4:$C$18,SMALL(IF(crossstage=4,IF(crossstatus=1,ROW(crossstatus)-ROW('Cross-cutting issues'!$E$4)+1)),ROWS(U$38:U42))),"")</f>
        <v/>
      </c>
    </row>
    <row r="43" spans="1:21" s="49" customFormat="1">
      <c r="A43" s="215"/>
      <c r="B43" s="112" t="str">
        <f t="array" ref="B43">IF(ROWS(B$38:B43)&lt;=$A$39,INDEX(Legislation!$C$5:$C$16,SMALL(IF(STAGE=4,IF(STATUS=0,ROW(STATUS)-ROW(Legislation!$E$5)+1)),ROWS(B$38:B43))),"")</f>
        <v/>
      </c>
      <c r="C43" s="85" t="str">
        <f t="array" ref="C43">IF(ROWS(C$38:C43)&lt;=$A$40,INDEX(Legislation!$C$5:$C$16,SMALL(IF(STAGE=4,IF(STATUS=1,ROW(STATUS)-ROW(Legislation!$E$5)+1)),ROWS(C$38:C43))),"")</f>
        <v/>
      </c>
      <c r="D43" s="60"/>
      <c r="E43" s="112" t="str">
        <f t="array" ref="E43">IF(ROWS(E$38:E43)&lt;=$D$39,INDEX('Data coll &amp; ax'!$C$4:$C$12,SMALL(IF(datastage=4,IF(datastatus=0,ROW(datastatus)-ROW('Data coll &amp; ax'!$E$4)+1)),ROWS(E$38:E43))),"")</f>
        <v/>
      </c>
      <c r="F43" s="85" t="str">
        <f t="array" ref="F43">IF(ROWS(F$38:F43)&lt;=$D$40,INDEX('Data coll &amp; ax'!$C$4:$C$12,SMALL(IF(datastage=4,IF(datastatus=1,ROW(datastatus)-ROW('Data coll &amp; ax'!$E$4)+1)),ROWS(F$38:F43))),"")</f>
        <v/>
      </c>
      <c r="G43" s="51"/>
      <c r="H43" s="116" t="str">
        <f t="array" ref="H43">IF(ROWS(H$38:H43)&lt;=$G$39,INDEX('Lab dx'!$C$4:$C$13,SMALL(IF(labstage=4,IF(labstatus=0,ROW(labstatus)-ROW('Lab dx'!$E$4)+1)),ROWS(H$38:H43))),"")</f>
        <v/>
      </c>
      <c r="I43" s="50" t="str">
        <f t="array" ref="I43">IF(ROWS(I$38:I43)&lt;=$G$40,INDEX('Lab dx'!$C$4:$C$13,SMALL(IF(labstage=4,IF(labstatus=1,ROW(labstatus)-ROW('Lab dx'!$F$4)+1)),ROWS(I$38:I43))),"")</f>
        <v/>
      </c>
      <c r="J43" s="51"/>
      <c r="K43" s="112" t="str">
        <f t="array" ref="K43">IF(ROWS(K$38:K43)&lt;=$J$39,INDEX(IEC!$C$4:$C$21,SMALL(IF(iecstage=4,IF(iecstatus=0,ROW(iecstatus)-ROW(IEC!$E$4)+1)),ROWS(K$38:K43))),"")</f>
        <v/>
      </c>
      <c r="L43" s="85" t="str">
        <f t="array" ref="L43">IF(ROWS(L$38:L43)&lt;=$J$40,INDEX(IEC!$C$4:$C$21,SMALL(IF(iecstage=4,IF(iecstatus=1,ROW(iecstatus)-ROW(IEC!$E$4)+1)),ROWS(L$38:L43))),"")</f>
        <v/>
      </c>
      <c r="M43" s="55"/>
      <c r="N43" s="116" t="str">
        <f t="array" ref="N43">IF(ROWS(N$38:N43)&lt;=$M$39,INDEX('Prev &amp; Ctrl'!$C$4:$C$28,SMALL(IF(prevstage=4,IF(prevstatus=0,ROW(prevstatus)-ROW('Prev &amp; Ctrl'!$E$4)+1)),ROWS(N$38:N43))),"")</f>
        <v/>
      </c>
      <c r="O43" s="50" t="str">
        <f t="array" ref="O43">IF(ROWS(O$38:O43)&lt;=$M$40,INDEX('Prev &amp; Ctrl'!$C$4:$C$28,SMALL(IF(prevstage=4,IF(prevstatus=1,ROW(prevstatus)-ROW('Prev &amp; Ctrl'!$E$4)+1)),ROWS(O$38:O43))),"")</f>
        <v/>
      </c>
      <c r="P43" s="51"/>
      <c r="Q43" s="112" t="str">
        <f t="array" ref="Q43">IF(ROWS(Q$29:Q43)&lt;=$P$39,INDEX('Dog popn'!$C$5:C44,SMALL(IF(dogstage=4,IF(dogstatus=0,ROW(dogstatus)-ROW('Dog popn'!$E$5)+1)),ROWS(Q$38:Q43))),"")</f>
        <v/>
      </c>
      <c r="R43" s="85" t="str">
        <f t="array" ref="R43">IF(ROWS(R$38:R43)&lt;=$P$40,INDEX('Dog popn'!$C$5:$C$7,SMALL(IF(dogstage=4,IF(dogstatus=1,ROW(dogstatus)-ROW('Dog popn'!$E$5)+1)),ROWS(R$38:R43))),"")</f>
        <v/>
      </c>
      <c r="S43" s="51"/>
      <c r="T43" s="116" t="str">
        <f t="array" ref="T43">IF(ROWS(T$38:T43)&lt;=$S$39,INDEX('Cross-cutting issues'!$C$4:$C$18,SMALL(IF(crossstage=4,IF(crossstatus=0,ROW(crossstatus)-ROW('Cross-cutting issues'!$E$4)+1)),ROWS(T$38:T43))),"")</f>
        <v/>
      </c>
      <c r="U43" s="50" t="str">
        <f t="array" ref="U43">IF(ROWS(U$38:U43)&lt;=$S$40,INDEX('Cross-cutting issues'!$C$4:$C$18,SMALL(IF(crossstage=4,IF(crossstatus=1,ROW(crossstatus)-ROW('Cross-cutting issues'!$E$4)+1)),ROWS(U$38:U43))),"")</f>
        <v/>
      </c>
    </row>
    <row r="44" spans="1:21" s="49" customFormat="1">
      <c r="A44" s="215"/>
      <c r="B44" s="112" t="str">
        <f t="array" ref="B44">IF(ROWS(B$38:B44)&lt;=$A$39,INDEX(Legislation!$C$5:$C$16,SMALL(IF(STAGE=4,IF(STATUS=0,ROW(STATUS)-ROW(Legislation!$E$5)+1)),ROWS(B$38:B44))),"")</f>
        <v/>
      </c>
      <c r="C44" s="85" t="str">
        <f t="array" ref="C44">IF(ROWS(C$38:C44)&lt;=$A$40,INDEX(Legislation!$C$5:$C$16,SMALL(IF(STAGE=4,IF(STATUS=1,ROW(STATUS)-ROW(Legislation!$E$5)+1)),ROWS(C$38:C44))),"")</f>
        <v/>
      </c>
      <c r="D44" s="60"/>
      <c r="E44" s="112" t="str">
        <f t="array" ref="E44">IF(ROWS(E$38:E44)&lt;=$D$39,INDEX('Data coll &amp; ax'!$C$4:$C$12,SMALL(IF(datastage=4,IF(datastatus=0,ROW(datastatus)-ROW('Data coll &amp; ax'!$E$4)+1)),ROWS(E$38:E44))),"")</f>
        <v/>
      </c>
      <c r="F44" s="85" t="str">
        <f t="array" ref="F44">IF(ROWS(F$38:F44)&lt;=$D$40,INDEX('Data coll &amp; ax'!$C$4:$C$12,SMALL(IF(datastage=4,IF(datastatus=1,ROW(datastatus)-ROW('Data coll &amp; ax'!$E$4)+1)),ROWS(F$38:F44))),"")</f>
        <v/>
      </c>
      <c r="G44" s="51"/>
      <c r="H44" s="116" t="str">
        <f t="array" ref="H44">IF(ROWS(H$38:H44)&lt;=$G$39,INDEX('Lab dx'!$C$4:$C$13,SMALL(IF(labstage=4,IF(labstatus=0,ROW(labstatus)-ROW('Lab dx'!$E$4)+1)),ROWS(H$38:H44))),"")</f>
        <v/>
      </c>
      <c r="I44" s="50" t="str">
        <f t="array" ref="I44">IF(ROWS(I$38:I44)&lt;=$G$40,INDEX('Lab dx'!$C$4:$C$13,SMALL(IF(labstage=4,IF(labstatus=1,ROW(labstatus)-ROW('Lab dx'!$F$4)+1)),ROWS(I$38:I44))),"")</f>
        <v/>
      </c>
      <c r="J44" s="51"/>
      <c r="K44" s="112" t="str">
        <f t="array" ref="K44">IF(ROWS(K$38:K44)&lt;=$J$39,INDEX(IEC!$C$4:$C$21,SMALL(IF(iecstage=4,IF(iecstatus=0,ROW(iecstatus)-ROW(IEC!$E$4)+1)),ROWS(K$38:K44))),"")</f>
        <v/>
      </c>
      <c r="L44" s="85" t="str">
        <f t="array" ref="L44">IF(ROWS(L$38:L44)&lt;=$J$40,INDEX(IEC!$C$4:$C$21,SMALL(IF(iecstage=4,IF(iecstatus=1,ROW(iecstatus)-ROW(IEC!$E$4)+1)),ROWS(L$38:L44))),"")</f>
        <v/>
      </c>
      <c r="M44" s="55"/>
      <c r="N44" s="116" t="str">
        <f t="array" ref="N44">IF(ROWS(N$38:N44)&lt;=$M$39,INDEX('Prev &amp; Ctrl'!$C$4:$C$28,SMALL(IF(prevstage=4,IF(prevstatus=0,ROW(prevstatus)-ROW('Prev &amp; Ctrl'!$E$4)+1)),ROWS(N$38:N44))),"")</f>
        <v/>
      </c>
      <c r="O44" s="50" t="str">
        <f t="array" ref="O44">IF(ROWS(O$38:O44)&lt;=$M$40,INDEX('Prev &amp; Ctrl'!$C$4:$C$28,SMALL(IF(prevstage=4,IF(prevstatus=1,ROW(prevstatus)-ROW('Prev &amp; Ctrl'!$E$4)+1)),ROWS(O$38:O44))),"")</f>
        <v/>
      </c>
      <c r="P44" s="51"/>
      <c r="Q44" s="112" t="str">
        <f t="array" ref="Q44">IF(ROWS(Q$29:Q44)&lt;=$P$39,INDEX('Dog popn'!$C$5:C45,SMALL(IF(dogstage=4,IF(dogstatus=0,ROW(dogstatus)-ROW('Dog popn'!$E$5)+1)),ROWS(Q$38:Q44))),"")</f>
        <v/>
      </c>
      <c r="R44" s="85" t="str">
        <f t="array" ref="R44">IF(ROWS(R$38:R44)&lt;=$P$40,INDEX('Dog popn'!$C$5:$C$7,SMALL(IF(dogstage=4,IF(dogstatus=1,ROW(dogstatus)-ROW('Dog popn'!$E$5)+1)),ROWS(R$38:R44))),"")</f>
        <v/>
      </c>
      <c r="S44" s="51"/>
      <c r="T44" s="116" t="str">
        <f t="array" ref="T44">IF(ROWS(T$38:T44)&lt;=$S$39,INDEX('Cross-cutting issues'!$C$4:$C$18,SMALL(IF(crossstage=4,IF(crossstatus=0,ROW(crossstatus)-ROW('Cross-cutting issues'!$E$4)+1)),ROWS(T$38:T44))),"")</f>
        <v/>
      </c>
      <c r="U44" s="50" t="str">
        <f t="array" ref="U44">IF(ROWS(U$38:U44)&lt;=$S$40,INDEX('Cross-cutting issues'!$C$4:$C$18,SMALL(IF(crossstage=4,IF(crossstatus=1,ROW(crossstatus)-ROW('Cross-cutting issues'!$E$4)+1)),ROWS(U$38:U44))),"")</f>
        <v/>
      </c>
    </row>
    <row r="45" spans="1:21" s="49" customFormat="1">
      <c r="A45" s="215"/>
      <c r="B45" s="112" t="str">
        <f t="array" ref="B45">IF(ROWS(B$38:B45)&lt;=$A$39,INDEX(Legislation!$C$5:$C$16,SMALL(IF(STAGE=4,IF(STATUS=0,ROW(STATUS)-ROW(Legislation!$E$5)+1)),ROWS(B$38:B45))),"")</f>
        <v/>
      </c>
      <c r="C45" s="85" t="str">
        <f t="array" ref="C45">IF(ROWS(C$38:C45)&lt;=$A$40,INDEX(Legislation!$C$5:$C$16,SMALL(IF(STAGE=4,IF(STATUS=1,ROW(STATUS)-ROW(Legislation!$E$5)+1)),ROWS(C$38:C45))),"")</f>
        <v/>
      </c>
      <c r="D45" s="60"/>
      <c r="E45" s="112" t="str">
        <f t="array" ref="E45">IF(ROWS(E$38:E45)&lt;=$D$39,INDEX('Data coll &amp; ax'!$C$4:$C$12,SMALL(IF(datastage=4,IF(datastatus=0,ROW(datastatus)-ROW('Data coll &amp; ax'!$E$4)+1)),ROWS(E$38:E45))),"")</f>
        <v/>
      </c>
      <c r="F45" s="85" t="str">
        <f t="array" ref="F45">IF(ROWS(F$38:F45)&lt;=$D$40,INDEX('Data coll &amp; ax'!$C$4:$C$12,SMALL(IF(datastage=4,IF(datastatus=1,ROW(datastatus)-ROW('Data coll &amp; ax'!$E$4)+1)),ROWS(F$38:F45))),"")</f>
        <v/>
      </c>
      <c r="G45" s="51"/>
      <c r="H45" s="116" t="str">
        <f t="array" ref="H45">IF(ROWS(H$38:H45)&lt;=$G$39,INDEX('Lab dx'!$C$4:$C$13,SMALL(IF(labstage=4,IF(labstatus=0,ROW(labstatus)-ROW('Lab dx'!$E$4)+1)),ROWS(H$38:H45))),"")</f>
        <v/>
      </c>
      <c r="I45" s="50" t="str">
        <f t="array" ref="I45">IF(ROWS(I$38:I45)&lt;=$G$40,INDEX('Lab dx'!$C$4:$C$13,SMALL(IF(labstage=4,IF(labstatus=1,ROW(labstatus)-ROW('Lab dx'!$F$4)+1)),ROWS(I$38:I45))),"")</f>
        <v/>
      </c>
      <c r="J45" s="51"/>
      <c r="K45" s="112" t="str">
        <f t="array" ref="K45">IF(ROWS(K$38:K45)&lt;=$J$39,INDEX(IEC!$C$4:$C$21,SMALL(IF(iecstage=4,IF(iecstatus=0,ROW(iecstatus)-ROW(IEC!$E$4)+1)),ROWS(K$38:K45))),"")</f>
        <v/>
      </c>
      <c r="L45" s="85" t="str">
        <f t="array" ref="L45">IF(ROWS(L$38:L45)&lt;=$J$40,INDEX(IEC!$C$4:$C$21,SMALL(IF(iecstage=4,IF(iecstatus=1,ROW(iecstatus)-ROW(IEC!$E$4)+1)),ROWS(L$38:L45))),"")</f>
        <v/>
      </c>
      <c r="M45" s="55"/>
      <c r="N45" s="116" t="str">
        <f t="array" ref="N45">IF(ROWS(N$38:N45)&lt;=$M$39,INDEX('Prev &amp; Ctrl'!$C$4:$C$28,SMALL(IF(prevstage=4,IF(prevstatus=0,ROW(prevstatus)-ROW('Prev &amp; Ctrl'!$E$4)+1)),ROWS(N$38:N45))),"")</f>
        <v/>
      </c>
      <c r="O45" s="50" t="str">
        <f t="array" ref="O45">IF(ROWS(O$38:O45)&lt;=$M$40,INDEX('Prev &amp; Ctrl'!$C$4:$C$28,SMALL(IF(prevstage=4,IF(prevstatus=1,ROW(prevstatus)-ROW('Prev &amp; Ctrl'!$E$4)+1)),ROWS(O$38:O45))),"")</f>
        <v/>
      </c>
      <c r="P45" s="51"/>
      <c r="Q45" s="112" t="str">
        <f t="array" ref="Q45">IF(ROWS(Q$29:Q45)&lt;=$P$39,INDEX('Dog popn'!$C$5:C46,SMALL(IF(dogstage=4,IF(dogstatus=0,ROW(dogstatus)-ROW('Dog popn'!$E$5)+1)),ROWS(Q$38:Q45))),"")</f>
        <v/>
      </c>
      <c r="R45" s="85" t="str">
        <f t="array" ref="R45">IF(ROWS(R$38:R45)&lt;=$P$40,INDEX('Dog popn'!$C$5:$C$7,SMALL(IF(dogstage=4,IF(dogstatus=1,ROW(dogstatus)-ROW('Dog popn'!$E$5)+1)),ROWS(R$38:R45))),"")</f>
        <v/>
      </c>
      <c r="S45" s="51"/>
      <c r="T45" s="116" t="str">
        <f t="array" ref="T45">IF(ROWS(T$38:T45)&lt;=$S$39,INDEX('Cross-cutting issues'!$C$4:$C$18,SMALL(IF(crossstage=4,IF(crossstatus=0,ROW(crossstatus)-ROW('Cross-cutting issues'!$E$4)+1)),ROWS(T$38:T45))),"")</f>
        <v/>
      </c>
      <c r="U45" s="50" t="str">
        <f t="array" ref="U45">IF(ROWS(U$38:U45)&lt;=$S$40,INDEX('Cross-cutting issues'!$C$4:$C$18,SMALL(IF(crossstage=4,IF(crossstatus=1,ROW(crossstatus)-ROW('Cross-cutting issues'!$E$4)+1)),ROWS(U$38:U45))),"")</f>
        <v/>
      </c>
    </row>
    <row r="46" spans="1:21" s="49" customFormat="1">
      <c r="A46" s="216"/>
      <c r="B46" s="113" t="str">
        <f t="array" ref="B46">IF(ROWS(B$38:B46)&lt;=$A$39,INDEX(Legislation!$C$5:$C$16,SMALL(IF(STAGE=4,IF(STATUS=0,ROW(STATUS)-ROW(Legislation!$E$5)+1)),ROWS(B$38:B46))),"")</f>
        <v/>
      </c>
      <c r="C46" s="86" t="str">
        <f t="array" ref="C46">IF(ROWS(C$38:C46)&lt;=$A$40,INDEX(Legislation!$C$5:$C$16,SMALL(IF(STAGE=4,IF(STATUS=1,ROW(STATUS)-ROW(Legislation!$E$5)+1)),ROWS(C$38:C46))),"")</f>
        <v/>
      </c>
      <c r="D46" s="61"/>
      <c r="E46" s="113" t="str">
        <f t="array" ref="E46">IF(ROWS(E$38:E46)&lt;=$D$39,INDEX('Data coll &amp; ax'!$C$4:$C$12,SMALL(IF(datastage=4,IF(datastatus=0,ROW(datastatus)-ROW('Data coll &amp; ax'!$E$4)+1)),ROWS(E$38:E46))),"")</f>
        <v/>
      </c>
      <c r="F46" s="86" t="str">
        <f t="array" ref="F46">IF(ROWS(F$38:F46)&lt;=$D$40,INDEX('Data coll &amp; ax'!$C$4:$C$12,SMALL(IF(datastage=4,IF(datastatus=1,ROW(datastatus)-ROW('Data coll &amp; ax'!$E$4)+1)),ROWS(F$38:F46))),"")</f>
        <v/>
      </c>
      <c r="G46" s="53"/>
      <c r="H46" s="117" t="str">
        <f t="array" ref="H46">IF(ROWS(H$38:H46)&lt;=$G$39,INDEX('Lab dx'!$C$4:$C$13,SMALL(IF(labstage=4,IF(labstatus=0,ROW(labstatus)-ROW('Lab dx'!$E$4)+1)),ROWS(H$38:H46))),"")</f>
        <v/>
      </c>
      <c r="I46" s="52" t="str">
        <f t="array" ref="I46">IF(ROWS(I$38:I46)&lt;=$G$40,INDEX('Lab dx'!$C$4:$C$13,SMALL(IF(labstage=4,IF(labstatus=1,ROW(labstatus)-ROW('Lab dx'!$F$4)+1)),ROWS(I$38:I46))),"")</f>
        <v/>
      </c>
      <c r="J46" s="53"/>
      <c r="K46" s="113" t="str">
        <f t="array" ref="K46">IF(ROWS(K$38:K46)&lt;=$J$39,INDEX(IEC!$C$4:$C$21,SMALL(IF(iecstage=4,IF(iecstatus=0,ROW(iecstatus)-ROW(IEC!$E$4)+1)),ROWS(K$38:K46))),"")</f>
        <v/>
      </c>
      <c r="L46" s="86" t="str">
        <f t="array" ref="L46">IF(ROWS(L$38:L46)&lt;=$J$40,INDEX(IEC!$C$4:$C$21,SMALL(IF(iecstage=4,IF(iecstatus=1,ROW(iecstatus)-ROW(IEC!$E$4)+1)),ROWS(L$38:L46))),"")</f>
        <v/>
      </c>
      <c r="M46" s="56"/>
      <c r="N46" s="117" t="str">
        <f t="array" ref="N46">IF(ROWS(N$38:N46)&lt;=$M$39,INDEX('Prev &amp; Ctrl'!$C$4:$C$28,SMALL(IF(prevstage=4,IF(prevstatus=0,ROW(prevstatus)-ROW('Prev &amp; Ctrl'!$E$4)+1)),ROWS(N$38:N46))),"")</f>
        <v/>
      </c>
      <c r="O46" s="52" t="str">
        <f t="array" ref="O46">IF(ROWS(O$38:O46)&lt;=$M$40,INDEX('Prev &amp; Ctrl'!$C$4:$C$28,SMALL(IF(prevstage=4,IF(prevstatus=1,ROW(prevstatus)-ROW('Prev &amp; Ctrl'!$E$4)+1)),ROWS(O$38:O46))),"")</f>
        <v/>
      </c>
      <c r="P46" s="53"/>
      <c r="Q46" s="113" t="str">
        <f t="array" ref="Q46">IF(ROWS(Q$29:Q46)&lt;=$P$39,INDEX('Dog popn'!$C$5:C47,SMALL(IF(dogstage=4,IF(dogstatus=0,ROW(dogstatus)-ROW('Dog popn'!$E$5)+1)),ROWS(Q$38:Q46))),"")</f>
        <v/>
      </c>
      <c r="R46" s="86" t="str">
        <f t="array" ref="R46">IF(ROWS(R$38:R46)&lt;=$P$40,INDEX('Dog popn'!$C$5:$C$7,SMALL(IF(dogstage=4,IF(dogstatus=1,ROW(dogstatus)-ROW('Dog popn'!$E$5)+1)),ROWS(R$38:R46))),"")</f>
        <v/>
      </c>
      <c r="S46" s="53"/>
      <c r="T46" s="117" t="str">
        <f t="array" ref="T46">IF(ROWS(T$38:T46)&lt;=$S$39,INDEX('Cross-cutting issues'!$C$4:$C$18,SMALL(IF(crossstage=4,IF(crossstatus=0,ROW(crossstatus)-ROW('Cross-cutting issues'!$E$4)+1)),ROWS(T$38:T46))),"")</f>
        <v/>
      </c>
      <c r="U46" s="52" t="str">
        <f t="array" ref="U46">IF(ROWS(U$38:U46)&lt;=$S$40,INDEX('Cross-cutting issues'!$C$4:$C$18,SMALL(IF(crossstage=4,IF(crossstatus=1,ROW(crossstatus)-ROW('Cross-cutting issues'!$E$4)+1)),ROWS(U$38:U46))),"")</f>
        <v/>
      </c>
    </row>
    <row r="47" spans="1:21" s="49" customFormat="1" ht="56">
      <c r="A47" s="217">
        <v>5</v>
      </c>
      <c r="B47" s="110" t="str">
        <f t="array" ref="B47">IF(ROWS(B$47:B47)&lt;=$A$48,INDEX(Legislation!$C$5:$C$16,SMALL(IF(STAGE=5,IF(STATUS=0,ROW(STATUS)-ROW(Legislation!$E$5)+1)),ROWS(B$47:B47))),"")</f>
        <v/>
      </c>
      <c r="C47" s="84" t="str">
        <f t="array" ref="C47">IF(ROWS(C$47:C47)&lt;=$A$49,INDEX(Legislation!$C$5:$C$16,SMALL(IF(STAGE=5,IF(STATUS=1,ROW(STATUS)-ROW(Legislation!$E$5)+1)),ROWS(C$47:C47))),"")</f>
        <v/>
      </c>
      <c r="D47" s="59"/>
      <c r="E47" s="115" t="str">
        <f t="array" ref="E47">IF(ROWS(E$47:E47)&lt;=$D$48,INDEX('Data coll &amp; ax'!$C$4:$C$12,SMALL(IF(datastage=5,IF(datastatus=0,ROW(datastatus)-ROW('Data coll &amp; ax'!$E$4)+1)),ROWS(E$47:E47))),"")</f>
        <v>Effective surveillance system for rabies maintained</v>
      </c>
      <c r="F47" s="47" t="str">
        <f t="array" ref="F47">IF(ROWS(F$47:F47)&lt;=$D$49,INDEX('Data coll &amp; ax'!$C$4:$C$12,SMALL(IF(datastage=5,IF(datastatus=1,ROW(datastatus)-ROW('Data coll &amp; ax'!$E$4)+1)),ROWS(F$47:F47))),"")</f>
        <v/>
      </c>
      <c r="G47" s="48"/>
      <c r="H47" s="115" t="str">
        <f t="array" ref="H47">IF(ROWS(H$47:H47)&lt;=$G$48,INDEX('Lab dx'!$C$4:$C$13,SMALL(IF(labstage=5,IF(labstatus=0,ROW(labstatus)-ROW('Lab dx'!$E$4)+1)),ROWS(H$47:H47))),"")</f>
        <v/>
      </c>
      <c r="I47" s="47" t="str">
        <f t="array" ref="I47">IF(ROWS(I$47:I47)&lt;=$G$49,INDEX('Lab dx'!$C$4:$C$13,SMALL(IF(labstage=5,IF(labstatus=1,ROW(labstatus)-ROW('Lab dx'!$F$4)+1)),ROWS(I$47:I47))),"")</f>
        <v/>
      </c>
      <c r="J47" s="48"/>
      <c r="K47" s="110" t="str">
        <f t="array" ref="K47">IF(ROWS(K$47:K47)&lt;=$J$48,INDEX(IEC!$C$4:$C$21,SMALL(IF(iecstage=5,IF(iecstatus=0,ROW(iecstatus)-ROW(IEC!$E$4)+1)),ROWS(K$47:K47))),"")</f>
        <v>Campaigns on dog population management and responsible dog ownership maintained after declaration of freedom from dog rabies</v>
      </c>
      <c r="L47" s="84" t="str">
        <f t="array" ref="L47">IF(ROWS(L$47:L47)&lt;=$J$49,INDEX(IEC!$C$4:$C$21,SMALL(IF(iecstage=5,IF(iecstatus=1,ROW(iecstatus)-ROW(IEC!$E$4)+1)),ROWS(L$47:L47))),"")</f>
        <v/>
      </c>
      <c r="M47" s="54"/>
      <c r="N47" s="115" t="str">
        <f t="array" ref="N47">IF(ROWS(N$47:N47)&lt;=$M$48,INDEX('Prev &amp; Ctrl'!$C$4:$C$28,SMALL(IF(prevstage=5,IF(prevstatus=0,ROW(prevstatus)-ROW('Prev &amp; Ctrl'!$E$4)+1)),ROWS(N$47:N47))),"")</f>
        <v>Modified protocols on criteria for PEP administration for rabies free areas implemented</v>
      </c>
      <c r="O47" s="47" t="str">
        <f t="array" ref="O47">IF(ROWS(O$47:O47)&lt;=$M$49,INDEX('Prev &amp; Ctrl'!$C$4:$C$28,SMALL(IF(prevstage=5,IF(prevstatus=1,ROW(prevstatus)-ROW('Prev &amp; Ctrl'!$E$4)+1)),ROWS(O$47:O47))),"")</f>
        <v/>
      </c>
      <c r="P47" s="48"/>
      <c r="Q47" s="110" t="str">
        <f t="array" ref="Q47">IF(ROWS(Q$47:Q47)&lt;=$P$48,INDEX('Dog popn'!$C$5:C48,SMALL(IF(dogstage=5,IF(dogstatus=0,ROW(dogstatus)-ROW('Dog popn'!$E$5)+1)),ROWS(Q$47:Q47))),"")</f>
        <v/>
      </c>
      <c r="R47" s="84" t="str">
        <f t="array" ref="R47">IF(ROWS(R$47:R47)&lt;=$P$49,INDEX('Dog popn'!$C$5:$C$7,SMALL(IF(dogstage=5,IF(dogstatus=1,ROW(dogstatus)-ROW('Dog popn'!$E$5)+1)),ROWS(R$47:R47))),"")</f>
        <v/>
      </c>
      <c r="S47" s="48"/>
      <c r="T47" s="115" t="str">
        <f t="array" ref="T47">IF(ROWS(T$47:T47)&lt;=$S$48,INDEX('Cross-cutting issues'!$C$4:$C$18,SMALL(IF(crossstage=5,IF(crossstatus=0,ROW(crossstatus)-ROW('Cross-cutting issues'!$E$4)+1)),ROWS(T$47:T47))),"")</f>
        <v/>
      </c>
      <c r="U47" s="47" t="str">
        <f t="array" ref="U47">IF(ROWS(U$47:U47)&lt;=$S$49,INDEX('Cross-cutting issues'!$C$4:$C$18,SMALL(IF(crossstage=5,IF(crossstatus=1,ROW(crossstatus)-ROW('Cross-cutting issues'!$E$4)+1)),ROWS(U$47:U47))),"")</f>
        <v/>
      </c>
    </row>
    <row r="48" spans="1:21" s="49" customFormat="1" ht="42">
      <c r="A48" s="218">
        <f>SUMPRODUCT((STAGE=5)*(STATUS=0))</f>
        <v>0</v>
      </c>
      <c r="B48" s="112" t="str">
        <f t="array" ref="B48">IF(ROWS(B$47:B48)&lt;=$A$48,INDEX(Legislation!$C$5:$C$16,SMALL(IF(STAGE=5,IF(STATUS=0,ROW(STATUS)-ROW(Legislation!$E$5)+1)),ROWS(B$47:B48))),"")</f>
        <v/>
      </c>
      <c r="C48" s="85" t="str">
        <f t="array" ref="C48">IF(ROWS(C$47:C48)&lt;=$A$49,INDEX(Legislation!$C$5:$C$16,SMALL(IF(STAGE=5,IF(STATUS=1,ROW(STATUS)-ROW(Legislation!$E$5)+1)),ROWS(C$47:C48))),"")</f>
        <v/>
      </c>
      <c r="D48" s="60">
        <f>SUMPRODUCT((datastage=5)*(datastatus=0))</f>
        <v>1</v>
      </c>
      <c r="E48" s="116" t="str">
        <f t="array" ref="E48">IF(ROWS(E$47:E48)&lt;=$D$48,INDEX('Data coll &amp; ax'!$C$4:$C$12,SMALL(IF(datastage=5,IF(datastatus=0,ROW(datastatus)-ROW('Data coll &amp; ax'!$E$4)+1)),ROWS(E$47:E48))),"")</f>
        <v/>
      </c>
      <c r="F48" s="50" t="str">
        <f t="array" ref="F48">IF(ROWS(F$47:F48)&lt;=$D$49,INDEX('Data coll &amp; ax'!$C$4:$C$12,SMALL(IF(datastage=5,IF(datastatus=1,ROW(datastatus)-ROW('Data coll &amp; ax'!$E$4)+1)),ROWS(F$47:F48))),"")</f>
        <v/>
      </c>
      <c r="G48" s="51">
        <f>SUMPRODUCT((labstage=5)*(labstatus=0))</f>
        <v>0</v>
      </c>
      <c r="H48" s="116" t="str">
        <f t="array" ref="H48">IF(ROWS(H$47:H48)&lt;=$G$48,INDEX('Lab dx'!$C$4:$C$13,SMALL(IF(labstage=5,IF(labstatus=0,ROW(labstatus)-ROW('Lab dx'!$E$4)+1)),ROWS(H$47:H48))),"")</f>
        <v/>
      </c>
      <c r="I48" s="50" t="str">
        <f t="array" ref="I48">IF(ROWS(I$47:I48)&lt;=$G$49,INDEX('Lab dx'!$C$4:$C$13,SMALL(IF(labstage=5,IF(labstatus=1,ROW(labstatus)-ROW('Lab dx'!$F$4)+1)),ROWS(I$47:I48))),"")</f>
        <v/>
      </c>
      <c r="J48" s="51">
        <f>SUMPRODUCT((iecstage=5)*(iecstatus=0))</f>
        <v>1</v>
      </c>
      <c r="K48" s="112" t="str">
        <f t="array" ref="K48">IF(ROWS(K$47:K48)&lt;=$J$48,INDEX(IEC!$C$4:$C$21,SMALL(IF(iecstage=5,IF(iecstatus=0,ROW(iecstatus)-ROW(IEC!$E$4)+1)),ROWS(K$47:K48))),"")</f>
        <v/>
      </c>
      <c r="L48" s="85" t="str">
        <f t="array" ref="L48">IF(ROWS(L$47:L48)&lt;=$J$49,INDEX(IEC!$C$4:$C$21,SMALL(IF(iecstage=5,IF(iecstatus=1,ROW(iecstatus)-ROW(IEC!$E$4)+1)),ROWS(L$47:L48))),"")</f>
        <v/>
      </c>
      <c r="M48" s="55">
        <f>SUMPRODUCT((prevstage=5)*(prevstatus=0))</f>
        <v>3</v>
      </c>
      <c r="N48" s="116" t="str">
        <f t="array" ref="N48">IF(ROWS(N$47:N48)&lt;=$M$48,INDEX('Prev &amp; Ctrl'!$C$4:$C$28,SMALL(IF(prevstage=5,IF(prevstatus=0,ROW(prevstatus)-ROW('Prev &amp; Ctrl'!$E$4)+1)),ROWS(N$47:N48))),"")</f>
        <v>Based on a risk assessment, dog vaccination campaigns are maintained where justified</v>
      </c>
      <c r="O48" s="50" t="str">
        <f t="array" ref="O48">IF(ROWS(O$47:O48)&lt;=$M$49,INDEX('Prev &amp; Ctrl'!$C$4:$C$28,SMALL(IF(prevstage=5,IF(prevstatus=1,ROW(prevstatus)-ROW('Prev &amp; Ctrl'!$E$4)+1)),ROWS(O$47:O48))),"")</f>
        <v/>
      </c>
      <c r="P48" s="51">
        <f>SUMPRODUCT((dogstage=5)*(dogstatus=0))</f>
        <v>0</v>
      </c>
      <c r="Q48" s="112" t="str">
        <f t="array" ref="Q48">IF(ROWS(Q$47:Q48)&lt;=$P$48,INDEX('Dog popn'!$C$5:C49,SMALL(IF(dogstage=5,IF(dogstatus=0,ROW(dogstatus)-ROW('Dog popn'!$E$5)+1)),ROWS(Q$47:Q48))),"")</f>
        <v/>
      </c>
      <c r="R48" s="85" t="str">
        <f t="array" ref="R48">IF(ROWS(R$47:R48)&lt;=$P$49,INDEX('Dog popn'!$C$5:$C$7,SMALL(IF(dogstage=5,IF(dogstatus=1,ROW(dogstatus)-ROW('Dog popn'!$E$5)+1)),ROWS(R$47:R48))),"")</f>
        <v/>
      </c>
      <c r="S48" s="51">
        <f>SUMPRODUCT((crossstage=5)*(crossstatus=0))</f>
        <v>0</v>
      </c>
      <c r="T48" s="116" t="str">
        <f t="array" ref="T48">IF(ROWS(T$47:T48)&lt;=$S$48,INDEX('Cross-cutting issues'!$C$4:$C$18,SMALL(IF(crossstage=5,IF(crossstatus=0,ROW(crossstatus)-ROW('Cross-cutting issues'!$E$4)+1)),ROWS(T$47:T48))),"")</f>
        <v/>
      </c>
      <c r="U48" s="50" t="str">
        <f t="array" ref="U48">IF(ROWS(U$47:U48)&lt;=$S$49,INDEX('Cross-cutting issues'!$C$4:$C$18,SMALL(IF(crossstage=5,IF(crossstatus=1,ROW(crossstatus)-ROW('Cross-cutting issues'!$E$4)+1)),ROWS(U$47:U48))),"")</f>
        <v/>
      </c>
    </row>
    <row r="49" spans="1:21" s="49" customFormat="1" ht="28">
      <c r="A49" s="218">
        <f>SUMPRODUCT((STAGE=5)*(STATUS=1))</f>
        <v>0</v>
      </c>
      <c r="B49" s="112" t="str">
        <f t="array" ref="B49">IF(ROWS(B$47:B49)&lt;=$A$48,INDEX(Legislation!$C$5:$C$16,SMALL(IF(STAGE=5,IF(STATUS=0,ROW(STATUS)-ROW(Legislation!$E$5)+1)),ROWS(B$47:B49))),"")</f>
        <v/>
      </c>
      <c r="C49" s="85" t="str">
        <f t="array" ref="C49">IF(ROWS(C$47:C49)&lt;=$A$49,INDEX(Legislation!$C$5:$C$16,SMALL(IF(STAGE=5,IF(STATUS=1,ROW(STATUS)-ROW(Legislation!$E$5)+1)),ROWS(C$47:C49))),"")</f>
        <v/>
      </c>
      <c r="D49" s="60">
        <f>SUMPRODUCT((datastage=5)*(datastatus=1))</f>
        <v>0</v>
      </c>
      <c r="E49" s="116" t="str">
        <f t="array" ref="E49">IF(ROWS(E$47:E49)&lt;=$D$48,INDEX('Data coll &amp; ax'!$C$4:$C$12,SMALL(IF(datastage=5,IF(datastatus=0,ROW(datastatus)-ROW('Data coll &amp; ax'!$E$4)+1)),ROWS(E$47:E49))),"")</f>
        <v/>
      </c>
      <c r="F49" s="50" t="str">
        <f t="array" ref="F49">IF(ROWS(F$47:F49)&lt;=$D$49,INDEX('Data coll &amp; ax'!$C$4:$C$12,SMALL(IF(datastage=5,IF(datastatus=1,ROW(datastatus)-ROW('Data coll &amp; ax'!$E$4)+1)),ROWS(F$47:F49))),"")</f>
        <v/>
      </c>
      <c r="G49" s="51">
        <f>SUMPRODUCT((labstage=5)*(labstatus=1))</f>
        <v>0</v>
      </c>
      <c r="H49" s="116" t="str">
        <f t="array" ref="H49">IF(ROWS(H$47:H49)&lt;=$G$48,INDEX('Lab dx'!$C$4:$C$13,SMALL(IF(labstage=5,IF(labstatus=0,ROW(labstatus)-ROW('Lab dx'!$E$4)+1)),ROWS(H$47:H49))),"")</f>
        <v/>
      </c>
      <c r="I49" s="50" t="str">
        <f t="array" ref="I49">IF(ROWS(I$47:I49)&lt;=$G$49,INDEX('Lab dx'!$C$4:$C$13,SMALL(IF(labstage=5,IF(labstatus=1,ROW(labstatus)-ROW('Lab dx'!$F$4)+1)),ROWS(I$47:I49))),"")</f>
        <v/>
      </c>
      <c r="J49" s="51">
        <f>SUMPRODUCT((iecstage=5)*(iecstatus=1))</f>
        <v>0</v>
      </c>
      <c r="K49" s="112" t="str">
        <f t="array" ref="K49">IF(ROWS(K$47:K49)&lt;=$J$48,INDEX(IEC!$C$4:$C$21,SMALL(IF(iecstage=5,IF(iecstatus=0,ROW(iecstatus)-ROW(IEC!$E$4)+1)),ROWS(K$47:K49))),"")</f>
        <v/>
      </c>
      <c r="L49" s="85" t="str">
        <f t="array" ref="L49">IF(ROWS(L$47:L49)&lt;=$J$49,INDEX(IEC!$C$4:$C$21,SMALL(IF(iecstage=5,IF(iecstatus=1,ROW(iecstatus)-ROW(IEC!$E$4)+1)),ROWS(L$47:L49))),"")</f>
        <v/>
      </c>
      <c r="M49" s="55">
        <f>SUMPRODUCT((prevstage=5)*(prevstatus=1))</f>
        <v>0</v>
      </c>
      <c r="N49" s="116" t="str">
        <f t="array" ref="N49">IF(ROWS(N$47:N49)&lt;=$M$48,INDEX('Prev &amp; Ctrl'!$C$4:$C$28,SMALL(IF(prevstage=5,IF(prevstatus=0,ROW(prevstatus)-ROW('Prev &amp; Ctrl'!$E$4)+1)),ROWS(N$47:N49))),"")</f>
        <v>Capacity for outbreak and re-introduction response maintained</v>
      </c>
      <c r="O49" s="50" t="str">
        <f t="array" ref="O49">IF(ROWS(O$47:O49)&lt;=$M$49,INDEX('Prev &amp; Ctrl'!$C$4:$C$28,SMALL(IF(prevstage=5,IF(prevstatus=1,ROW(prevstatus)-ROW('Prev &amp; Ctrl'!$E$4)+1)),ROWS(O$47:O49))),"")</f>
        <v/>
      </c>
      <c r="P49" s="51">
        <f>SUMPRODUCT((dogstage=5)*(dogstatus=1))</f>
        <v>0</v>
      </c>
      <c r="Q49" s="112" t="str">
        <f t="array" ref="Q49">IF(ROWS(Q$47:Q49)&lt;=$P$48,INDEX('Dog popn'!$C$5:C50,SMALL(IF(dogstage=5,IF(dogstatus=0,ROW(dogstatus)-ROW('Dog popn'!$E$5)+1)),ROWS(Q$47:Q49))),"")</f>
        <v/>
      </c>
      <c r="R49" s="85" t="str">
        <f t="array" ref="R49">IF(ROWS(R$47:R49)&lt;=$P$49,INDEX('Dog popn'!$C$5:$C$7,SMALL(IF(dogstage=5,IF(dogstatus=1,ROW(dogstatus)-ROW('Dog popn'!$E$5)+1)),ROWS(R$47:R49))),"")</f>
        <v/>
      </c>
      <c r="S49" s="51">
        <f>SUMPRODUCT((crossstage=5)*(crossstatus=1))</f>
        <v>0</v>
      </c>
      <c r="T49" s="116" t="str">
        <f t="array" ref="T49">IF(ROWS(T$47:T49)&lt;=$S$48,INDEX('Cross-cutting issues'!$C$4:$C$18,SMALL(IF(crossstage=5,IF(crossstatus=0,ROW(crossstatus)-ROW('Cross-cutting issues'!$E$4)+1)),ROWS(T$47:T49))),"")</f>
        <v/>
      </c>
      <c r="U49" s="50" t="str">
        <f t="array" ref="U49">IF(ROWS(U$47:U49)&lt;=$S$49,INDEX('Cross-cutting issues'!$C$4:$C$18,SMALL(IF(crossstage=5,IF(crossstatus=1,ROW(crossstatus)-ROW('Cross-cutting issues'!$E$4)+1)),ROWS(U$47:U49))),"")</f>
        <v/>
      </c>
    </row>
    <row r="50" spans="1:21" s="49" customFormat="1">
      <c r="A50" s="219"/>
      <c r="B50" s="112" t="str">
        <f t="array" ref="B50">IF(ROWS(B$47:B50)&lt;=$A$48,INDEX(Legislation!$C$5:$C$16,SMALL(IF(STAGE=5,IF(STATUS=0,ROW(STATUS)-ROW(Legislation!$E$5)+1)),ROWS(B$47:B50))),"")</f>
        <v/>
      </c>
      <c r="C50" s="85" t="str">
        <f t="array" ref="C50">IF(ROWS(C$47:C50)&lt;=$A$49,INDEX(Legislation!$C$5:$C$16,SMALL(IF(STAGE=5,IF(STATUS=1,ROW(STATUS)-ROW(Legislation!$E$5)+1)),ROWS(C$47:C50))),"")</f>
        <v/>
      </c>
      <c r="D50" s="60"/>
      <c r="E50" s="116" t="str">
        <f t="array" ref="E50">IF(ROWS(E$47:E50)&lt;=$D$48,INDEX('Data coll &amp; ax'!$C$4:$C$12,SMALL(IF(datastage=5,IF(datastatus=0,ROW(datastatus)-ROW('Data coll &amp; ax'!$E$4)+1)),ROWS(E$47:E50))),"")</f>
        <v/>
      </c>
      <c r="F50" s="50" t="str">
        <f t="array" ref="F50">IF(ROWS(F$47:F50)&lt;=$D$49,INDEX('Data coll &amp; ax'!$C$4:$C$12,SMALL(IF(datastage=5,IF(datastatus=1,ROW(datastatus)-ROW('Data coll &amp; ax'!$E$4)+1)),ROWS(F$47:F50))),"")</f>
        <v/>
      </c>
      <c r="G50" s="51"/>
      <c r="H50" s="116" t="str">
        <f t="array" ref="H50">IF(ROWS(H$47:H50)&lt;=$G$48,INDEX('Lab dx'!$C$4:$C$13,SMALL(IF(labstage=5,IF(labstatus=0,ROW(labstatus)-ROW('Lab dx'!$E$4)+1)),ROWS(H$47:H50))),"")</f>
        <v/>
      </c>
      <c r="I50" s="50" t="str">
        <f t="array" ref="I50">IF(ROWS(I$47:I50)&lt;=$G$49,INDEX('Lab dx'!$C$4:$C$13,SMALL(IF(labstage=5,IF(labstatus=1,ROW(labstatus)-ROW('Lab dx'!$F$4)+1)),ROWS(I$47:I50))),"")</f>
        <v/>
      </c>
      <c r="J50" s="51"/>
      <c r="K50" s="112" t="str">
        <f t="array" ref="K50">IF(ROWS(K$47:K50)&lt;=$J$48,INDEX(IEC!$C$4:$C$21,SMALL(IF(iecstage=5,IF(iecstatus=0,ROW(iecstatus)-ROW(IEC!$E$4)+1)),ROWS(K$47:K50))),"")</f>
        <v/>
      </c>
      <c r="L50" s="85" t="str">
        <f t="array" ref="L50">IF(ROWS(L$47:L50)&lt;=$J$49,INDEX(IEC!$C$4:$C$21,SMALL(IF(iecstage=5,IF(iecstatus=1,ROW(iecstatus)-ROW(IEC!$E$4)+1)),ROWS(L$47:L50))),"")</f>
        <v/>
      </c>
      <c r="M50" s="55"/>
      <c r="N50" s="116" t="str">
        <f t="array" ref="N50">IF(ROWS(N$47:N50)&lt;=$M$48,INDEX('Prev &amp; Ctrl'!$C$4:$C$28,SMALL(IF(prevstage=5,IF(prevstatus=0,ROW(prevstatus)-ROW('Prev &amp; Ctrl'!$E$4)+1)),ROWS(N$47:N50))),"")</f>
        <v/>
      </c>
      <c r="O50" s="50" t="str">
        <f t="array" ref="O50">IF(ROWS(O$47:O50)&lt;=$M$49,INDEX('Prev &amp; Ctrl'!$C$4:$C$28,SMALL(IF(prevstage=5,IF(prevstatus=1,ROW(prevstatus)-ROW('Prev &amp; Ctrl'!$E$4)+1)),ROWS(O$47:O50))),"")</f>
        <v/>
      </c>
      <c r="P50" s="51"/>
      <c r="Q50" s="112" t="str">
        <f t="array" ref="Q50">IF(ROWS(Q$47:Q50)&lt;=$P$48,INDEX('Dog popn'!$C$5:C51,SMALL(IF(dogstage=5,IF(dogstatus=0,ROW(dogstatus)-ROW('Dog popn'!$E$5)+1)),ROWS(Q$47:Q50))),"")</f>
        <v/>
      </c>
      <c r="R50" s="85" t="str">
        <f t="array" ref="R50">IF(ROWS(R$47:R50)&lt;=$P$49,INDEX('Dog popn'!$C$5:$C$7,SMALL(IF(dogstage=5,IF(dogstatus=1,ROW(dogstatus)-ROW('Dog popn'!$E$5)+1)),ROWS(R$47:R50))),"")</f>
        <v/>
      </c>
      <c r="S50" s="51"/>
      <c r="T50" s="116" t="str">
        <f t="array" ref="T50">IF(ROWS(T$47:T50)&lt;=$S$48,INDEX('Cross-cutting issues'!$C$4:$C$18,SMALL(IF(crossstage=5,IF(crossstatus=0,ROW(crossstatus)-ROW('Cross-cutting issues'!$E$4)+1)),ROWS(T$47:T50))),"")</f>
        <v/>
      </c>
      <c r="U50" s="50" t="str">
        <f t="array" ref="U50">IF(ROWS(U$47:U50)&lt;=$S$49,INDEX('Cross-cutting issues'!$C$4:$C$18,SMALL(IF(crossstage=5,IF(crossstatus=1,ROW(crossstatus)-ROW('Cross-cutting issues'!$E$4)+1)),ROWS(U$47:U50))),"")</f>
        <v/>
      </c>
    </row>
    <row r="51" spans="1:21" s="49" customFormat="1">
      <c r="A51" s="219"/>
      <c r="B51" s="112" t="str">
        <f t="array" ref="B51">IF(ROWS(B$47:B51)&lt;=$A$48,INDEX(Legislation!$C$5:$C$16,SMALL(IF(STAGE=5,IF(STATUS=0,ROW(STATUS)-ROW(Legislation!$E$5)+1)),ROWS(B$47:B51))),"")</f>
        <v/>
      </c>
      <c r="C51" s="85" t="str">
        <f t="array" ref="C51">IF(ROWS(C$47:C51)&lt;=$A$49,INDEX(Legislation!$C$5:$C$16,SMALL(IF(STAGE=5,IF(STATUS=1,ROW(STATUS)-ROW(Legislation!$E$5)+1)),ROWS(C$47:C51))),"")</f>
        <v/>
      </c>
      <c r="D51" s="60"/>
      <c r="E51" s="116" t="str">
        <f t="array" ref="E51">IF(ROWS(E$47:E51)&lt;=$D$48,INDEX('Data coll &amp; ax'!$C$4:$C$12,SMALL(IF(datastage=5,IF(datastatus=0,ROW(datastatus)-ROW('Data coll &amp; ax'!$E$4)+1)),ROWS(E$47:E51))),"")</f>
        <v/>
      </c>
      <c r="F51" s="50" t="str">
        <f t="array" ref="F51">IF(ROWS(F$47:F51)&lt;=$D$49,INDEX('Data coll &amp; ax'!$C$4:$C$12,SMALL(IF(datastage=5,IF(datastatus=1,ROW(datastatus)-ROW('Data coll &amp; ax'!$E$4)+1)),ROWS(F$47:F51))),"")</f>
        <v/>
      </c>
      <c r="G51" s="51"/>
      <c r="H51" s="116" t="str">
        <f t="array" ref="H51">IF(ROWS(H$47:H51)&lt;=$G$48,INDEX('Lab dx'!$C$4:$C$13,SMALL(IF(labstage=5,IF(labstatus=0,ROW(labstatus)-ROW('Lab dx'!$E$4)+1)),ROWS(H$47:H51))),"")</f>
        <v/>
      </c>
      <c r="I51" s="50" t="str">
        <f t="array" ref="I51">IF(ROWS(I$47:I51)&lt;=$G$49,INDEX('Lab dx'!$C$4:$C$13,SMALL(IF(labstage=5,IF(labstatus=1,ROW(labstatus)-ROW('Lab dx'!$F$4)+1)),ROWS(I$47:I51))),"")</f>
        <v/>
      </c>
      <c r="J51" s="51"/>
      <c r="K51" s="112" t="str">
        <f t="array" ref="K51">IF(ROWS(K$47:K51)&lt;=$J$48,INDEX(IEC!$C$4:$C$21,SMALL(IF(iecstage=5,IF(iecstatus=0,ROW(iecstatus)-ROW(IEC!$E$4)+1)),ROWS(K$47:K51))),"")</f>
        <v/>
      </c>
      <c r="L51" s="85" t="str">
        <f t="array" ref="L51">IF(ROWS(L$47:L51)&lt;=$J$49,INDEX(IEC!$C$4:$C$21,SMALL(IF(iecstage=5,IF(iecstatus=1,ROW(iecstatus)-ROW(IEC!$E$4)+1)),ROWS(L$47:L51))),"")</f>
        <v/>
      </c>
      <c r="M51" s="55"/>
      <c r="N51" s="116" t="str">
        <f t="array" ref="N51">IF(ROWS(N$47:N51)&lt;=$M$48,INDEX('Prev &amp; Ctrl'!$C$4:$C$28,SMALL(IF(prevstage=5,IF(prevstatus=0,ROW(prevstatus)-ROW('Prev &amp; Ctrl'!$E$4)+1)),ROWS(N$47:N51))),"")</f>
        <v/>
      </c>
      <c r="O51" s="50" t="str">
        <f t="array" ref="O51">IF(ROWS(O$47:O51)&lt;=$M$49,INDEX('Prev &amp; Ctrl'!$C$4:$C$28,SMALL(IF(prevstage=5,IF(prevstatus=1,ROW(prevstatus)-ROW('Prev &amp; Ctrl'!$E$4)+1)),ROWS(O$47:O51))),"")</f>
        <v/>
      </c>
      <c r="P51" s="51"/>
      <c r="Q51" s="112" t="str">
        <f t="array" ref="Q51">IF(ROWS(Q$47:Q51)&lt;=$P$48,INDEX('Dog popn'!$C$5:C52,SMALL(IF(dogstage=5,IF(dogstatus=0,ROW(dogstatus)-ROW('Dog popn'!$E$5)+1)),ROWS(Q$47:Q51))),"")</f>
        <v/>
      </c>
      <c r="R51" s="85" t="str">
        <f t="array" ref="R51">IF(ROWS(R$47:R51)&lt;=$P$49,INDEX('Dog popn'!$C$5:$C$7,SMALL(IF(dogstage=5,IF(dogstatus=1,ROW(dogstatus)-ROW('Dog popn'!$E$5)+1)),ROWS(R$47:R51))),"")</f>
        <v/>
      </c>
      <c r="S51" s="51"/>
      <c r="T51" s="116" t="str">
        <f t="array" ref="T51">IF(ROWS(T$47:T51)&lt;=$S$48,INDEX('Cross-cutting issues'!$C$4:$C$18,SMALL(IF(crossstage=5,IF(crossstatus=0,ROW(crossstatus)-ROW('Cross-cutting issues'!$E$4)+1)),ROWS(T$47:T51))),"")</f>
        <v/>
      </c>
      <c r="U51" s="50" t="str">
        <f t="array" ref="U51">IF(ROWS(U$47:U51)&lt;=$S$49,INDEX('Cross-cutting issues'!$C$4:$C$18,SMALL(IF(crossstage=5,IF(crossstatus=1,ROW(crossstatus)-ROW('Cross-cutting issues'!$E$4)+1)),ROWS(U$47:U51))),"")</f>
        <v/>
      </c>
    </row>
    <row r="52" spans="1:21" s="49" customFormat="1">
      <c r="A52" s="219"/>
      <c r="B52" s="112" t="str">
        <f t="array" ref="B52">IF(ROWS(B$47:B52)&lt;=$A$48,INDEX(Legislation!$C$5:$C$16,SMALL(IF(STAGE=5,IF(STATUS=0,ROW(STATUS)-ROW(Legislation!$E$5)+1)),ROWS(B$47:B52))),"")</f>
        <v/>
      </c>
      <c r="C52" s="85" t="str">
        <f t="array" ref="C52">IF(ROWS(C$47:C52)&lt;=$A$49,INDEX(Legislation!$C$5:$C$16,SMALL(IF(STAGE=5,IF(STATUS=1,ROW(STATUS)-ROW(Legislation!$E$5)+1)),ROWS(C$47:C52))),"")</f>
        <v/>
      </c>
      <c r="D52" s="60"/>
      <c r="E52" s="116" t="str">
        <f t="array" ref="E52">IF(ROWS(E$47:E52)&lt;=$D$48,INDEX('Data coll &amp; ax'!$C$4:$C$12,SMALL(IF(datastage=5,IF(datastatus=0,ROW(datastatus)-ROW('Data coll &amp; ax'!$E$4)+1)),ROWS(E$47:E52))),"")</f>
        <v/>
      </c>
      <c r="F52" s="50" t="str">
        <f t="array" ref="F52">IF(ROWS(F$47:F52)&lt;=$D$49,INDEX('Data coll &amp; ax'!$C$4:$C$12,SMALL(IF(datastage=5,IF(datastatus=1,ROW(datastatus)-ROW('Data coll &amp; ax'!$E$4)+1)),ROWS(F$47:F52))),"")</f>
        <v/>
      </c>
      <c r="G52" s="51"/>
      <c r="H52" s="116" t="str">
        <f t="array" ref="H52">IF(ROWS(H$47:H52)&lt;=$G$48,INDEX('Lab dx'!$C$4:$C$13,SMALL(IF(labstage=5,IF(labstatus=0,ROW(labstatus)-ROW('Lab dx'!$E$4)+1)),ROWS(H$47:H52))),"")</f>
        <v/>
      </c>
      <c r="I52" s="50" t="str">
        <f t="array" ref="I52">IF(ROWS(I$47:I52)&lt;=$G$49,INDEX('Lab dx'!$C$4:$C$13,SMALL(IF(labstage=5,IF(labstatus=1,ROW(labstatus)-ROW('Lab dx'!$F$4)+1)),ROWS(I$47:I52))),"")</f>
        <v/>
      </c>
      <c r="J52" s="51"/>
      <c r="K52" s="112" t="str">
        <f t="array" ref="K52">IF(ROWS(K$47:K52)&lt;=$J$48,INDEX(IEC!$C$4:$C$21,SMALL(IF(iecstage=5,IF(iecstatus=0,ROW(iecstatus)-ROW(IEC!$E$4)+1)),ROWS(K$47:K52))),"")</f>
        <v/>
      </c>
      <c r="L52" s="85" t="str">
        <f t="array" ref="L52">IF(ROWS(L$47:L52)&lt;=$J$49,INDEX(IEC!$C$4:$C$21,SMALL(IF(iecstage=5,IF(iecstatus=1,ROW(iecstatus)-ROW(IEC!$E$4)+1)),ROWS(L$47:L52))),"")</f>
        <v/>
      </c>
      <c r="M52" s="55"/>
      <c r="N52" s="116" t="str">
        <f t="array" ref="N52">IF(ROWS(N$47:N52)&lt;=$M$48,INDEX('Prev &amp; Ctrl'!$C$4:$C$28,SMALL(IF(prevstage=5,IF(prevstatus=0,ROW(prevstatus)-ROW('Prev &amp; Ctrl'!$E$4)+1)),ROWS(N$47:N52))),"")</f>
        <v/>
      </c>
      <c r="O52" s="50" t="str">
        <f t="array" ref="O52">IF(ROWS(O$47:O52)&lt;=$M$49,INDEX('Prev &amp; Ctrl'!$C$4:$C$28,SMALL(IF(prevstage=5,IF(prevstatus=1,ROW(prevstatus)-ROW('Prev &amp; Ctrl'!$E$4)+1)),ROWS(O$47:O52))),"")</f>
        <v/>
      </c>
      <c r="P52" s="51"/>
      <c r="Q52" s="112" t="str">
        <f t="array" ref="Q52">IF(ROWS(Q$47:Q52)&lt;=$P$48,INDEX('Dog popn'!$C$5:C53,SMALL(IF(dogstage=5,IF(dogstatus=0,ROW(dogstatus)-ROW('Dog popn'!$E$5)+1)),ROWS(Q$47:Q52))),"")</f>
        <v/>
      </c>
      <c r="R52" s="85" t="str">
        <f t="array" ref="R52">IF(ROWS(R$47:R52)&lt;=$P$49,INDEX('Dog popn'!$C$5:$C$7,SMALL(IF(dogstage=5,IF(dogstatus=1,ROW(dogstatus)-ROW('Dog popn'!$E$5)+1)),ROWS(R$47:R52))),"")</f>
        <v/>
      </c>
      <c r="S52" s="51"/>
      <c r="T52" s="116" t="str">
        <f t="array" ref="T52">IF(ROWS(T$47:T52)&lt;=$S$48,INDEX('Cross-cutting issues'!$C$4:$C$18,SMALL(IF(crossstage=5,IF(crossstatus=0,ROW(crossstatus)-ROW('Cross-cutting issues'!$E$4)+1)),ROWS(T$47:T52))),"")</f>
        <v/>
      </c>
      <c r="U52" s="50" t="str">
        <f t="array" ref="U52">IF(ROWS(U$47:U52)&lt;=$S$49,INDEX('Cross-cutting issues'!$C$4:$C$18,SMALL(IF(crossstage=5,IF(crossstatus=1,ROW(crossstatus)-ROW('Cross-cutting issues'!$E$4)+1)),ROWS(U$47:U52))),"")</f>
        <v/>
      </c>
    </row>
    <row r="53" spans="1:21" s="49" customFormat="1">
      <c r="A53" s="219"/>
      <c r="B53" s="112" t="str">
        <f t="array" ref="B53">IF(ROWS(B$47:B53)&lt;=$A$48,INDEX(Legislation!$C$5:$C$16,SMALL(IF(STAGE=5,IF(STATUS=0,ROW(STATUS)-ROW(Legislation!$E$5)+1)),ROWS(B$47:B53))),"")</f>
        <v/>
      </c>
      <c r="C53" s="85" t="str">
        <f t="array" ref="C53">IF(ROWS(C$47:C53)&lt;=$A$49,INDEX(Legislation!$C$5:$C$16,SMALL(IF(STAGE=5,IF(STATUS=1,ROW(STATUS)-ROW(Legislation!$E$5)+1)),ROWS(C$47:C53))),"")</f>
        <v/>
      </c>
      <c r="D53" s="60"/>
      <c r="E53" s="116" t="str">
        <f t="array" ref="E53">IF(ROWS(E$47:E53)&lt;=$D$48,INDEX('Data coll &amp; ax'!$C$4:$C$12,SMALL(IF(datastage=5,IF(datastatus=0,ROW(datastatus)-ROW('Data coll &amp; ax'!$E$4)+1)),ROWS(E$47:E53))),"")</f>
        <v/>
      </c>
      <c r="F53" s="50" t="str">
        <f t="array" ref="F53">IF(ROWS(F$47:F53)&lt;=$D$49,INDEX('Data coll &amp; ax'!$C$4:$C$12,SMALL(IF(datastage=5,IF(datastatus=1,ROW(datastatus)-ROW('Data coll &amp; ax'!$E$4)+1)),ROWS(F$47:F53))),"")</f>
        <v/>
      </c>
      <c r="G53" s="51"/>
      <c r="H53" s="116" t="str">
        <f t="array" ref="H53">IF(ROWS(H$47:H53)&lt;=$G$48,INDEX('Lab dx'!$C$4:$C$13,SMALL(IF(labstage=5,IF(labstatus=0,ROW(labstatus)-ROW('Lab dx'!$E$4)+1)),ROWS(H$47:H53))),"")</f>
        <v/>
      </c>
      <c r="I53" s="50" t="str">
        <f t="array" ref="I53">IF(ROWS(I$47:I53)&lt;=$G$49,INDEX('Lab dx'!$C$4:$C$13,SMALL(IF(labstage=5,IF(labstatus=1,ROW(labstatus)-ROW('Lab dx'!$F$4)+1)),ROWS(I$47:I53))),"")</f>
        <v/>
      </c>
      <c r="J53" s="51"/>
      <c r="K53" s="112" t="str">
        <f t="array" ref="K53">IF(ROWS(K$47:K53)&lt;=$J$48,INDEX(IEC!$C$4:$C$21,SMALL(IF(iecstage=5,IF(iecstatus=0,ROW(iecstatus)-ROW(IEC!$E$4)+1)),ROWS(K$47:K53))),"")</f>
        <v/>
      </c>
      <c r="L53" s="85" t="str">
        <f t="array" ref="L53">IF(ROWS(L$47:L53)&lt;=$J$49,INDEX(IEC!$C$4:$C$21,SMALL(IF(iecstage=5,IF(iecstatus=1,ROW(iecstatus)-ROW(IEC!$E$4)+1)),ROWS(L$47:L53))),"")</f>
        <v/>
      </c>
      <c r="M53" s="55"/>
      <c r="N53" s="116" t="str">
        <f t="array" ref="N53">IF(ROWS(N$47:N53)&lt;=$M$48,INDEX('Prev &amp; Ctrl'!$C$4:$C$28,SMALL(IF(prevstage=5,IF(prevstatus=0,ROW(prevstatus)-ROW('Prev &amp; Ctrl'!$E$4)+1)),ROWS(N$47:N53))),"")</f>
        <v/>
      </c>
      <c r="O53" s="50" t="str">
        <f t="array" ref="O53">IF(ROWS(O$47:O53)&lt;=$M$49,INDEX('Prev &amp; Ctrl'!$C$4:$C$28,SMALL(IF(prevstage=5,IF(prevstatus=1,ROW(prevstatus)-ROW('Prev &amp; Ctrl'!$E$4)+1)),ROWS(O$47:O53))),"")</f>
        <v/>
      </c>
      <c r="P53" s="51"/>
      <c r="Q53" s="112" t="str">
        <f t="array" ref="Q53">IF(ROWS(Q$47:Q53)&lt;=$P$48,INDEX('Dog popn'!$C$5:C54,SMALL(IF(dogstage=5,IF(dogstatus=0,ROW(dogstatus)-ROW('Dog popn'!$E$5)+1)),ROWS(Q$47:Q53))),"")</f>
        <v/>
      </c>
      <c r="R53" s="85" t="str">
        <f t="array" ref="R53">IF(ROWS(R$47:R53)&lt;=$P$49,INDEX('Dog popn'!$C$5:$C$7,SMALL(IF(dogstage=5,IF(dogstatus=1,ROW(dogstatus)-ROW('Dog popn'!$E$5)+1)),ROWS(R$47:R53))),"")</f>
        <v/>
      </c>
      <c r="S53" s="51"/>
      <c r="T53" s="116" t="str">
        <f t="array" ref="T53">IF(ROWS(T$47:T53)&lt;=$S$48,INDEX('Cross-cutting issues'!$C$4:$C$18,SMALL(IF(crossstage=5,IF(crossstatus=0,ROW(crossstatus)-ROW('Cross-cutting issues'!$E$4)+1)),ROWS(T$47:T53))),"")</f>
        <v/>
      </c>
      <c r="U53" s="50" t="str">
        <f t="array" ref="U53">IF(ROWS(U$47:U53)&lt;=$S$49,INDEX('Cross-cutting issues'!$C$4:$C$18,SMALL(IF(crossstage=5,IF(crossstatus=1,ROW(crossstatus)-ROW('Cross-cutting issues'!$E$4)+1)),ROWS(U$47:U53))),"")</f>
        <v/>
      </c>
    </row>
    <row r="54" spans="1:21" s="49" customFormat="1">
      <c r="A54" s="219"/>
      <c r="B54" s="112" t="str">
        <f t="array" ref="B54">IF(ROWS(B$47:B54)&lt;=$A$48,INDEX(Legislation!$C$5:$C$16,SMALL(IF(STAGE=5,IF(STATUS=0,ROW(STATUS)-ROW(Legislation!$E$5)+1)),ROWS(B$47:B54))),"")</f>
        <v/>
      </c>
      <c r="C54" s="85" t="str">
        <f t="array" ref="C54">IF(ROWS(C$47:C54)&lt;=$A$49,INDEX(Legislation!$C$5:$C$16,SMALL(IF(STAGE=5,IF(STATUS=1,ROW(STATUS)-ROW(Legislation!$E$5)+1)),ROWS(C$47:C54))),"")</f>
        <v/>
      </c>
      <c r="D54" s="60"/>
      <c r="E54" s="116" t="str">
        <f t="array" ref="E54">IF(ROWS(E$47:E54)&lt;=$D$48,INDEX('Data coll &amp; ax'!$C$4:$C$12,SMALL(IF(datastage=5,IF(datastatus=0,ROW(datastatus)-ROW('Data coll &amp; ax'!$E$4)+1)),ROWS(E$47:E54))),"")</f>
        <v/>
      </c>
      <c r="F54" s="50" t="str">
        <f t="array" ref="F54">IF(ROWS(F$47:F54)&lt;=$D$49,INDEX('Data coll &amp; ax'!$C$4:$C$12,SMALL(IF(datastage=5,IF(datastatus=1,ROW(datastatus)-ROW('Data coll &amp; ax'!$E$4)+1)),ROWS(F$47:F54))),"")</f>
        <v/>
      </c>
      <c r="G54" s="51"/>
      <c r="H54" s="116" t="str">
        <f t="array" ref="H54">IF(ROWS(H$47:H54)&lt;=$G$48,INDEX('Lab dx'!$C$4:$C$13,SMALL(IF(labstage=5,IF(labstatus=0,ROW(labstatus)-ROW('Lab dx'!$E$4)+1)),ROWS(H$47:H54))),"")</f>
        <v/>
      </c>
      <c r="I54" s="50" t="str">
        <f t="array" ref="I54">IF(ROWS(I$47:I54)&lt;=$G$49,INDEX('Lab dx'!$C$4:$C$13,SMALL(IF(labstage=5,IF(labstatus=1,ROW(labstatus)-ROW('Lab dx'!$F$4)+1)),ROWS(I$47:I54))),"")</f>
        <v/>
      </c>
      <c r="J54" s="51"/>
      <c r="K54" s="112" t="str">
        <f t="array" ref="K54">IF(ROWS(K$47:K54)&lt;=$J$48,INDEX(IEC!$C$4:$C$21,SMALL(IF(iecstage=5,IF(iecstatus=0,ROW(iecstatus)-ROW(IEC!$E$4)+1)),ROWS(K$47:K54))),"")</f>
        <v/>
      </c>
      <c r="L54" s="85" t="str">
        <f t="array" ref="L54">IF(ROWS(L$47:L54)&lt;=$J$49,INDEX(IEC!$C$4:$C$21,SMALL(IF(iecstage=5,IF(iecstatus=1,ROW(iecstatus)-ROW(IEC!$E$4)+1)),ROWS(L$47:L54))),"")</f>
        <v/>
      </c>
      <c r="M54" s="55"/>
      <c r="N54" s="116" t="str">
        <f t="array" ref="N54">IF(ROWS(N$47:N54)&lt;=$M$48,INDEX('Prev &amp; Ctrl'!$C$4:$C$28,SMALL(IF(prevstage=5,IF(prevstatus=0,ROW(prevstatus)-ROW('Prev &amp; Ctrl'!$E$4)+1)),ROWS(N$47:N54))),"")</f>
        <v/>
      </c>
      <c r="O54" s="50" t="str">
        <f t="array" ref="O54">IF(ROWS(O$47:O54)&lt;=$M$49,INDEX('Prev &amp; Ctrl'!$C$4:$C$28,SMALL(IF(prevstage=5,IF(prevstatus=1,ROW(prevstatus)-ROW('Prev &amp; Ctrl'!$E$4)+1)),ROWS(O$47:O54))),"")</f>
        <v/>
      </c>
      <c r="P54" s="51"/>
      <c r="Q54" s="112" t="str">
        <f t="array" ref="Q54">IF(ROWS(Q$47:Q54)&lt;=$P$48,INDEX('Dog popn'!$C$5:C55,SMALL(IF(dogstage=5,IF(dogstatus=0,ROW(dogstatus)-ROW('Dog popn'!$E$5)+1)),ROWS(Q$47:Q54))),"")</f>
        <v/>
      </c>
      <c r="R54" s="85" t="str">
        <f t="array" ref="R54">IF(ROWS(R$47:R54)&lt;=$P$49,INDEX('Dog popn'!$C$5:$C$7,SMALL(IF(dogstage=5,IF(dogstatus=1,ROW(dogstatus)-ROW('Dog popn'!$E$5)+1)),ROWS(R$47:R54))),"")</f>
        <v/>
      </c>
      <c r="S54" s="51"/>
      <c r="T54" s="116" t="str">
        <f t="array" ref="T54">IF(ROWS(T$47:T54)&lt;=$S$48,INDEX('Cross-cutting issues'!$C$4:$C$18,SMALL(IF(crossstage=5,IF(crossstatus=0,ROW(crossstatus)-ROW('Cross-cutting issues'!$E$4)+1)),ROWS(T$47:T54))),"")</f>
        <v/>
      </c>
      <c r="U54" s="50" t="str">
        <f t="array" ref="U54">IF(ROWS(U$47:U54)&lt;=$S$49,INDEX('Cross-cutting issues'!$C$4:$C$18,SMALL(IF(crossstage=5,IF(crossstatus=1,ROW(crossstatus)-ROW('Cross-cutting issues'!$E$4)+1)),ROWS(U$47:U54))),"")</f>
        <v/>
      </c>
    </row>
    <row r="55" spans="1:21" s="49" customFormat="1">
      <c r="A55" s="220"/>
      <c r="B55" s="113" t="str">
        <f t="array" ref="B55">IF(ROWS(B$47:B55)&lt;=$A$48,INDEX(Legislation!$C$5:$C$16,SMALL(IF(STAGE=5,IF(STATUS=0,ROW(STATUS)-ROW(Legislation!$E$5)+1)),ROWS(B$47:B55))),"")</f>
        <v/>
      </c>
      <c r="C55" s="86" t="str">
        <f t="array" ref="C55">IF(ROWS(C$47:C55)&lt;=$A$49,INDEX(Legislation!$C$5:$C$16,SMALL(IF(STAGE=5,IF(STATUS=1,ROW(STATUS)-ROW(Legislation!$E$5)+1)),ROWS(C$47:C55))),"")</f>
        <v/>
      </c>
      <c r="D55" s="61"/>
      <c r="E55" s="117" t="str">
        <f t="array" ref="E55">IF(ROWS(E$47:E55)&lt;=$D$48,INDEX('Data coll &amp; ax'!$C$4:$C$12,SMALL(IF(datastage=5,IF(datastatus=0,ROW(datastatus)-ROW('Data coll &amp; ax'!$E$4)+1)),ROWS(E$47:E55))),"")</f>
        <v/>
      </c>
      <c r="F55" s="52" t="str">
        <f t="array" ref="F55">IF(ROWS(F$47:F55)&lt;=$D$49,INDEX('Data coll &amp; ax'!$C$4:$C$12,SMALL(IF(datastage=5,IF(datastatus=1,ROW(datastatus)-ROW('Data coll &amp; ax'!$E$4)+1)),ROWS(F$47:F55))),"")</f>
        <v/>
      </c>
      <c r="G55" s="53"/>
      <c r="H55" s="117" t="str">
        <f t="array" ref="H55">IF(ROWS(H$47:H55)&lt;=$G$48,INDEX('Lab dx'!$C$4:$C$13,SMALL(IF(labstage=5,IF(labstatus=0,ROW(labstatus)-ROW('Lab dx'!$E$4)+1)),ROWS(H$47:H55))),"")</f>
        <v/>
      </c>
      <c r="I55" s="52" t="str">
        <f t="array" ref="I55">IF(ROWS(I$47:I55)&lt;=$G$49,INDEX('Lab dx'!$C$4:$C$13,SMALL(IF(labstage=5,IF(labstatus=1,ROW(labstatus)-ROW('Lab dx'!$F$4)+1)),ROWS(I$47:I55))),"")</f>
        <v/>
      </c>
      <c r="J55" s="53"/>
      <c r="K55" s="113" t="str">
        <f t="array" ref="K55">IF(ROWS(K$47:K55)&lt;=$J$48,INDEX(IEC!$C$4:$C$21,SMALL(IF(iecstage=5,IF(iecstatus=0,ROW(iecstatus)-ROW(IEC!$E$4)+1)),ROWS(K$47:K55))),"")</f>
        <v/>
      </c>
      <c r="L55" s="86" t="str">
        <f t="array" ref="L55">IF(ROWS(L$47:L55)&lt;=$J$49,INDEX(IEC!$C$4:$C$21,SMALL(IF(iecstage=5,IF(iecstatus=1,ROW(iecstatus)-ROW(IEC!$E$4)+1)),ROWS(L$47:L55))),"")</f>
        <v/>
      </c>
      <c r="M55" s="56"/>
      <c r="N55" s="117" t="str">
        <f t="array" ref="N55">IF(ROWS(N$47:N55)&lt;=$M$48,INDEX('Prev &amp; Ctrl'!$C$4:$C$28,SMALL(IF(prevstage=5,IF(prevstatus=0,ROW(prevstatus)-ROW('Prev &amp; Ctrl'!$E$4)+1)),ROWS(N$47:N55))),"")</f>
        <v/>
      </c>
      <c r="O55" s="52" t="str">
        <f t="array" ref="O55">IF(ROWS(O$47:O55)&lt;=$M$49,INDEX('Prev &amp; Ctrl'!$C$4:$C$28,SMALL(IF(prevstage=5,IF(prevstatus=1,ROW(prevstatus)-ROW('Prev &amp; Ctrl'!$E$4)+1)),ROWS(O$47:O55))),"")</f>
        <v/>
      </c>
      <c r="P55" s="53"/>
      <c r="Q55" s="113" t="str">
        <f t="array" ref="Q55">IF(ROWS(Q$47:Q55)&lt;=$P$48,INDEX('Dog popn'!$C$5:C56,SMALL(IF(dogstage=5,IF(dogstatus=0,ROW(dogstatus)-ROW('Dog popn'!$E$5)+1)),ROWS(Q$47:Q55))),"")</f>
        <v/>
      </c>
      <c r="R55" s="86" t="str">
        <f t="array" ref="R55">IF(ROWS(R$47:R55)&lt;=$P$49,INDEX('Dog popn'!$C$5:$C$7,SMALL(IF(dogstage=5,IF(dogstatus=1,ROW(dogstatus)-ROW('Dog popn'!$E$5)+1)),ROWS(R$47:R55))),"")</f>
        <v/>
      </c>
      <c r="S55" s="53"/>
      <c r="T55" s="117" t="str">
        <f t="array" ref="T55">IF(ROWS(T$47:T55)&lt;=$S$48,INDEX('Cross-cutting issues'!$C$4:$C$18,SMALL(IF(crossstage=5,IF(crossstatus=0,ROW(crossstatus)-ROW('Cross-cutting issues'!$E$4)+1)),ROWS(T$47:T55))),"")</f>
        <v/>
      </c>
      <c r="U55" s="52" t="str">
        <f t="array" ref="U55">IF(ROWS(U$47:U55)&lt;=$S$49,INDEX('Cross-cutting issues'!$C$4:$C$18,SMALL(IF(crossstage=5,IF(crossstatus=1,ROW(crossstatus)-ROW('Cross-cutting issues'!$E$4)+1)),ROWS(U$47:U55))),"")</f>
        <v/>
      </c>
    </row>
  </sheetData>
  <sheetProtection password="CAED" sheet="1" objects="1" scenarios="1" formatColumns="0" formatRows="0"/>
  <mergeCells count="8">
    <mergeCell ref="A4:A5"/>
    <mergeCell ref="T4:U4"/>
    <mergeCell ref="B4:C4"/>
    <mergeCell ref="E4:F4"/>
    <mergeCell ref="H4:I4"/>
    <mergeCell ref="K4:L4"/>
    <mergeCell ref="N4:O4"/>
    <mergeCell ref="Q4:R4"/>
  </mergeCells>
  <pageMargins left="0.7" right="0.7" top="0.5" bottom="0.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2"/>
  <sheetViews>
    <sheetView workbookViewId="0">
      <pane ySplit="1" topLeftCell="A39" activePane="bottomLeft" state="frozen"/>
      <selection pane="bottomLeft" activeCell="B47" sqref="B47"/>
    </sheetView>
  </sheetViews>
  <sheetFormatPr baseColWidth="10" defaultColWidth="8.83203125" defaultRowHeight="14" x14ac:dyDescent="0"/>
  <cols>
    <col min="1" max="1" width="8.83203125" style="134"/>
    <col min="2" max="2" width="27.1640625" style="135" customWidth="1"/>
    <col min="3" max="3" width="96" style="76" customWidth="1"/>
    <col min="4" max="16384" width="8.83203125" style="76"/>
  </cols>
  <sheetData>
    <row r="1" spans="1:3" s="134" customFormat="1">
      <c r="A1" s="134" t="s">
        <v>0</v>
      </c>
      <c r="B1" s="134" t="s">
        <v>429</v>
      </c>
      <c r="C1" s="134" t="s">
        <v>430</v>
      </c>
    </row>
    <row r="2" spans="1:3">
      <c r="A2" s="136">
        <v>0</v>
      </c>
      <c r="B2" s="133" t="s">
        <v>34</v>
      </c>
      <c r="C2" s="10" t="s">
        <v>12</v>
      </c>
    </row>
    <row r="3" spans="1:3">
      <c r="A3" s="136">
        <v>1</v>
      </c>
      <c r="B3" s="133" t="s">
        <v>34</v>
      </c>
      <c r="C3" s="10" t="s">
        <v>138</v>
      </c>
    </row>
    <row r="4" spans="1:3">
      <c r="A4" s="136">
        <v>2</v>
      </c>
      <c r="B4" s="133" t="s">
        <v>34</v>
      </c>
      <c r="C4" s="10" t="s">
        <v>140</v>
      </c>
    </row>
    <row r="5" spans="1:3">
      <c r="A5" s="136">
        <v>0</v>
      </c>
      <c r="B5" s="133" t="s">
        <v>34</v>
      </c>
      <c r="C5" s="10" t="s">
        <v>14</v>
      </c>
    </row>
    <row r="6" spans="1:3">
      <c r="A6" s="136">
        <v>1</v>
      </c>
      <c r="B6" s="133" t="s">
        <v>34</v>
      </c>
      <c r="C6" s="10" t="s">
        <v>139</v>
      </c>
    </row>
    <row r="7" spans="1:3">
      <c r="A7" s="136">
        <v>2</v>
      </c>
      <c r="B7" s="133" t="s">
        <v>34</v>
      </c>
      <c r="C7" s="10" t="s">
        <v>141</v>
      </c>
    </row>
    <row r="8" spans="1:3">
      <c r="A8" s="136">
        <v>1</v>
      </c>
      <c r="B8" s="133" t="s">
        <v>34</v>
      </c>
      <c r="C8" s="10" t="s">
        <v>5</v>
      </c>
    </row>
    <row r="9" spans="1:3">
      <c r="A9" s="136">
        <v>1</v>
      </c>
      <c r="B9" s="133" t="s">
        <v>34</v>
      </c>
      <c r="C9" s="10" t="s">
        <v>6</v>
      </c>
    </row>
    <row r="10" spans="1:3">
      <c r="A10" s="136">
        <v>1</v>
      </c>
      <c r="B10" s="133" t="s">
        <v>34</v>
      </c>
      <c r="C10" s="137" t="s">
        <v>16</v>
      </c>
    </row>
    <row r="11" spans="1:3">
      <c r="A11" s="136">
        <v>1</v>
      </c>
      <c r="B11" s="133" t="s">
        <v>34</v>
      </c>
      <c r="C11" s="137" t="s">
        <v>8</v>
      </c>
    </row>
    <row r="12" spans="1:3">
      <c r="A12" s="136">
        <v>1</v>
      </c>
      <c r="B12" s="133" t="s">
        <v>34</v>
      </c>
      <c r="C12" s="137" t="s">
        <v>7</v>
      </c>
    </row>
    <row r="13" spans="1:3" ht="28">
      <c r="A13" s="136">
        <v>2</v>
      </c>
      <c r="B13" s="133" t="s">
        <v>34</v>
      </c>
      <c r="C13" s="10" t="s">
        <v>10</v>
      </c>
    </row>
    <row r="14" spans="1:3">
      <c r="A14" s="136">
        <v>1</v>
      </c>
      <c r="B14" s="138" t="s">
        <v>35</v>
      </c>
      <c r="C14" s="139" t="s">
        <v>24</v>
      </c>
    </row>
    <row r="15" spans="1:3">
      <c r="A15" s="136">
        <v>1</v>
      </c>
      <c r="B15" s="138" t="s">
        <v>35</v>
      </c>
      <c r="C15" s="139" t="s">
        <v>25</v>
      </c>
    </row>
    <row r="16" spans="1:3">
      <c r="A16" s="136">
        <v>1</v>
      </c>
      <c r="B16" s="138" t="s">
        <v>35</v>
      </c>
      <c r="C16" s="139" t="s">
        <v>20</v>
      </c>
    </row>
    <row r="17" spans="1:3">
      <c r="A17" s="136">
        <v>2</v>
      </c>
      <c r="B17" s="138" t="s">
        <v>35</v>
      </c>
      <c r="C17" s="140" t="s">
        <v>17</v>
      </c>
    </row>
    <row r="18" spans="1:3" ht="28">
      <c r="A18" s="136">
        <v>2</v>
      </c>
      <c r="B18" s="138" t="s">
        <v>35</v>
      </c>
      <c r="C18" s="140" t="s">
        <v>120</v>
      </c>
    </row>
    <row r="19" spans="1:3">
      <c r="A19" s="136">
        <v>3</v>
      </c>
      <c r="B19" s="138" t="s">
        <v>35</v>
      </c>
      <c r="C19" s="139" t="s">
        <v>22</v>
      </c>
    </row>
    <row r="20" spans="1:3">
      <c r="A20" s="136">
        <v>5</v>
      </c>
      <c r="B20" s="138" t="s">
        <v>35</v>
      </c>
      <c r="C20" s="139" t="s">
        <v>19</v>
      </c>
    </row>
    <row r="21" spans="1:3" ht="30" customHeight="1">
      <c r="A21" s="136">
        <v>2</v>
      </c>
      <c r="B21" s="138" t="s">
        <v>35</v>
      </c>
      <c r="C21" s="10" t="s">
        <v>21</v>
      </c>
    </row>
    <row r="22" spans="1:3">
      <c r="A22" s="136">
        <v>3</v>
      </c>
      <c r="B22" s="138" t="s">
        <v>35</v>
      </c>
      <c r="C22" s="10" t="s">
        <v>18</v>
      </c>
    </row>
    <row r="23" spans="1:3" ht="30" customHeight="1">
      <c r="A23" s="136">
        <v>0</v>
      </c>
      <c r="B23" s="141" t="s">
        <v>42</v>
      </c>
      <c r="C23" s="142" t="s">
        <v>36</v>
      </c>
    </row>
    <row r="24" spans="1:3" ht="28">
      <c r="A24" s="136">
        <v>0</v>
      </c>
      <c r="B24" s="141" t="s">
        <v>42</v>
      </c>
      <c r="C24" s="142" t="s">
        <v>27</v>
      </c>
    </row>
    <row r="25" spans="1:3" ht="15" customHeight="1">
      <c r="A25" s="136">
        <v>1</v>
      </c>
      <c r="B25" s="141" t="s">
        <v>42</v>
      </c>
      <c r="C25" s="142" t="s">
        <v>28</v>
      </c>
    </row>
    <row r="26" spans="1:3">
      <c r="A26" s="136">
        <v>2</v>
      </c>
      <c r="B26" s="141" t="s">
        <v>42</v>
      </c>
      <c r="C26" s="137" t="s">
        <v>30</v>
      </c>
    </row>
    <row r="27" spans="1:3">
      <c r="A27" s="136">
        <v>3</v>
      </c>
      <c r="B27" s="141" t="s">
        <v>42</v>
      </c>
      <c r="C27" s="142" t="s">
        <v>39</v>
      </c>
    </row>
    <row r="28" spans="1:3">
      <c r="A28" s="136">
        <v>3</v>
      </c>
      <c r="B28" s="141" t="s">
        <v>42</v>
      </c>
      <c r="C28" s="142" t="s">
        <v>40</v>
      </c>
    </row>
    <row r="29" spans="1:3">
      <c r="A29" s="136">
        <v>3</v>
      </c>
      <c r="B29" s="141" t="s">
        <v>42</v>
      </c>
      <c r="C29" s="142" t="s">
        <v>31</v>
      </c>
    </row>
    <row r="30" spans="1:3" ht="15" customHeight="1">
      <c r="A30" s="136">
        <v>2</v>
      </c>
      <c r="B30" s="141" t="s">
        <v>42</v>
      </c>
      <c r="C30" s="10" t="s">
        <v>29</v>
      </c>
    </row>
    <row r="31" spans="1:3">
      <c r="A31" s="136">
        <v>4</v>
      </c>
      <c r="B31" s="141" t="s">
        <v>42</v>
      </c>
      <c r="C31" s="10" t="s">
        <v>32</v>
      </c>
    </row>
    <row r="32" spans="1:3" ht="28">
      <c r="A32" s="136">
        <v>5</v>
      </c>
      <c r="B32" s="141" t="s">
        <v>42</v>
      </c>
      <c r="C32" s="10" t="s">
        <v>33</v>
      </c>
    </row>
    <row r="33" spans="1:3">
      <c r="A33" s="136">
        <v>0</v>
      </c>
      <c r="B33" s="143" t="s">
        <v>431</v>
      </c>
      <c r="C33" s="10" t="s">
        <v>44</v>
      </c>
    </row>
    <row r="34" spans="1:3" ht="28">
      <c r="A34" s="136">
        <v>2</v>
      </c>
      <c r="B34" s="143" t="s">
        <v>431</v>
      </c>
      <c r="C34" s="137" t="s">
        <v>119</v>
      </c>
    </row>
    <row r="35" spans="1:3" ht="15" customHeight="1">
      <c r="A35" s="144">
        <v>1</v>
      </c>
      <c r="B35" s="143" t="s">
        <v>431</v>
      </c>
      <c r="C35" s="142" t="s">
        <v>46</v>
      </c>
    </row>
    <row r="36" spans="1:3">
      <c r="A36" s="144">
        <v>1</v>
      </c>
      <c r="B36" s="143" t="s">
        <v>431</v>
      </c>
      <c r="C36" s="142" t="s">
        <v>59</v>
      </c>
    </row>
    <row r="37" spans="1:3" ht="28">
      <c r="A37" s="144">
        <v>2</v>
      </c>
      <c r="B37" s="143" t="s">
        <v>431</v>
      </c>
      <c r="C37" s="142" t="s">
        <v>48</v>
      </c>
    </row>
    <row r="38" spans="1:3">
      <c r="A38" s="144">
        <v>3</v>
      </c>
      <c r="B38" s="143" t="s">
        <v>431</v>
      </c>
      <c r="C38" s="142" t="s">
        <v>50</v>
      </c>
    </row>
    <row r="39" spans="1:3" ht="15" customHeight="1">
      <c r="A39" s="136">
        <v>1</v>
      </c>
      <c r="B39" s="143" t="s">
        <v>431</v>
      </c>
      <c r="C39" s="10" t="s">
        <v>57</v>
      </c>
    </row>
    <row r="40" spans="1:3" ht="28">
      <c r="A40" s="136">
        <v>1</v>
      </c>
      <c r="B40" s="143" t="s">
        <v>431</v>
      </c>
      <c r="C40" s="10" t="s">
        <v>58</v>
      </c>
    </row>
    <row r="41" spans="1:3">
      <c r="A41" s="136">
        <v>1</v>
      </c>
      <c r="B41" s="143" t="s">
        <v>431</v>
      </c>
      <c r="C41" s="10" t="s">
        <v>53</v>
      </c>
    </row>
    <row r="42" spans="1:3">
      <c r="A42" s="136">
        <v>1</v>
      </c>
      <c r="B42" s="143" t="s">
        <v>431</v>
      </c>
      <c r="C42" s="10" t="s">
        <v>61</v>
      </c>
    </row>
    <row r="43" spans="1:3">
      <c r="A43" s="144">
        <v>1</v>
      </c>
      <c r="B43" s="143" t="s">
        <v>431</v>
      </c>
      <c r="C43" s="142" t="s">
        <v>60</v>
      </c>
    </row>
    <row r="44" spans="1:3">
      <c r="A44" s="144">
        <v>2</v>
      </c>
      <c r="B44" s="143" t="s">
        <v>431</v>
      </c>
      <c r="C44" s="142" t="s">
        <v>49</v>
      </c>
    </row>
    <row r="45" spans="1:3">
      <c r="A45" s="144">
        <v>3</v>
      </c>
      <c r="B45" s="143" t="s">
        <v>431</v>
      </c>
      <c r="C45" s="145" t="s">
        <v>55</v>
      </c>
    </row>
    <row r="46" spans="1:3">
      <c r="A46" s="144">
        <v>3</v>
      </c>
      <c r="B46" s="143" t="s">
        <v>434</v>
      </c>
      <c r="C46" s="10" t="s">
        <v>43</v>
      </c>
    </row>
    <row r="47" spans="1:3">
      <c r="A47" s="144">
        <v>4</v>
      </c>
      <c r="B47" s="143" t="s">
        <v>431</v>
      </c>
      <c r="C47" s="10" t="s">
        <v>51</v>
      </c>
    </row>
    <row r="48" spans="1:3">
      <c r="A48" s="144">
        <v>5</v>
      </c>
      <c r="B48" s="143" t="s">
        <v>431</v>
      </c>
      <c r="C48" s="10" t="s">
        <v>52</v>
      </c>
    </row>
    <row r="49" spans="1:3">
      <c r="A49" s="136">
        <v>1</v>
      </c>
      <c r="B49" s="143" t="s">
        <v>431</v>
      </c>
      <c r="C49" s="10" t="s">
        <v>45</v>
      </c>
    </row>
    <row r="50" spans="1:3">
      <c r="A50" s="136">
        <v>2</v>
      </c>
      <c r="B50" s="143" t="s">
        <v>431</v>
      </c>
      <c r="C50" s="137" t="s">
        <v>47</v>
      </c>
    </row>
    <row r="51" spans="1:3">
      <c r="A51" s="146">
        <v>1</v>
      </c>
      <c r="B51" s="147" t="s">
        <v>432</v>
      </c>
      <c r="C51" s="142" t="s">
        <v>66</v>
      </c>
    </row>
    <row r="52" spans="1:3" ht="28">
      <c r="A52" s="146">
        <v>1</v>
      </c>
      <c r="B52" s="147" t="s">
        <v>432</v>
      </c>
      <c r="C52" s="137" t="s">
        <v>67</v>
      </c>
    </row>
    <row r="53" spans="1:3">
      <c r="A53" s="146">
        <v>2</v>
      </c>
      <c r="B53" s="147" t="s">
        <v>432</v>
      </c>
      <c r="C53" s="137" t="s">
        <v>84</v>
      </c>
    </row>
    <row r="54" spans="1:3">
      <c r="A54" s="146">
        <v>2</v>
      </c>
      <c r="B54" s="147" t="s">
        <v>432</v>
      </c>
      <c r="C54" s="148" t="s">
        <v>69</v>
      </c>
    </row>
    <row r="55" spans="1:3" ht="28">
      <c r="A55" s="149">
        <v>3</v>
      </c>
      <c r="B55" s="147" t="s">
        <v>432</v>
      </c>
      <c r="C55" s="142" t="s">
        <v>428</v>
      </c>
    </row>
    <row r="56" spans="1:3">
      <c r="A56" s="149">
        <v>4</v>
      </c>
      <c r="B56" s="147" t="s">
        <v>432</v>
      </c>
      <c r="C56" s="142" t="s">
        <v>77</v>
      </c>
    </row>
    <row r="57" spans="1:3">
      <c r="A57" s="149">
        <v>5</v>
      </c>
      <c r="B57" s="147" t="s">
        <v>432</v>
      </c>
      <c r="C57" s="148" t="s">
        <v>82</v>
      </c>
    </row>
    <row r="58" spans="1:3">
      <c r="A58" s="149">
        <v>1</v>
      </c>
      <c r="B58" s="147" t="s">
        <v>432</v>
      </c>
      <c r="C58" s="150" t="s">
        <v>68</v>
      </c>
    </row>
    <row r="59" spans="1:3">
      <c r="A59" s="146">
        <v>2</v>
      </c>
      <c r="B59" s="147" t="s">
        <v>432</v>
      </c>
      <c r="C59" s="151" t="s">
        <v>70</v>
      </c>
    </row>
    <row r="60" spans="1:3">
      <c r="A60" s="146">
        <v>2</v>
      </c>
      <c r="B60" s="147" t="s">
        <v>432</v>
      </c>
      <c r="C60" s="151" t="s">
        <v>71</v>
      </c>
    </row>
    <row r="61" spans="1:3" ht="28">
      <c r="A61" s="146">
        <v>3</v>
      </c>
      <c r="B61" s="147" t="s">
        <v>432</v>
      </c>
      <c r="C61" s="10" t="s">
        <v>118</v>
      </c>
    </row>
    <row r="62" spans="1:3">
      <c r="A62" s="146">
        <v>4</v>
      </c>
      <c r="B62" s="147" t="s">
        <v>432</v>
      </c>
      <c r="C62" s="10" t="s">
        <v>76</v>
      </c>
    </row>
    <row r="63" spans="1:3">
      <c r="A63" s="149">
        <v>5</v>
      </c>
      <c r="B63" s="147" t="s">
        <v>432</v>
      </c>
      <c r="C63" s="10" t="s">
        <v>80</v>
      </c>
    </row>
    <row r="64" spans="1:3">
      <c r="A64" s="149">
        <v>1</v>
      </c>
      <c r="B64" s="147" t="s">
        <v>432</v>
      </c>
      <c r="C64" s="10" t="s">
        <v>64</v>
      </c>
    </row>
    <row r="65" spans="1:3">
      <c r="A65" s="149">
        <v>1</v>
      </c>
      <c r="B65" s="147" t="s">
        <v>432</v>
      </c>
      <c r="C65" s="10" t="s">
        <v>65</v>
      </c>
    </row>
    <row r="66" spans="1:3">
      <c r="A66" s="149">
        <v>2</v>
      </c>
      <c r="B66" s="147" t="s">
        <v>432</v>
      </c>
      <c r="C66" s="151" t="s">
        <v>72</v>
      </c>
    </row>
    <row r="67" spans="1:3">
      <c r="A67" s="152">
        <v>2</v>
      </c>
      <c r="B67" s="147" t="s">
        <v>432</v>
      </c>
      <c r="C67" s="151" t="s">
        <v>73</v>
      </c>
    </row>
    <row r="68" spans="1:3">
      <c r="A68" s="152">
        <v>3</v>
      </c>
      <c r="B68" s="147" t="s">
        <v>432</v>
      </c>
      <c r="C68" s="10" t="s">
        <v>74</v>
      </c>
    </row>
    <row r="69" spans="1:3">
      <c r="A69" s="146">
        <v>3</v>
      </c>
      <c r="B69" s="147" t="s">
        <v>432</v>
      </c>
      <c r="C69" s="142" t="s">
        <v>88</v>
      </c>
    </row>
    <row r="70" spans="1:3">
      <c r="A70" s="146">
        <v>3</v>
      </c>
      <c r="B70" s="147" t="s">
        <v>432</v>
      </c>
      <c r="C70" s="142" t="s">
        <v>87</v>
      </c>
    </row>
    <row r="71" spans="1:3">
      <c r="A71" s="146">
        <v>4</v>
      </c>
      <c r="B71" s="147" t="s">
        <v>432</v>
      </c>
      <c r="C71" s="10" t="s">
        <v>83</v>
      </c>
    </row>
    <row r="72" spans="1:3" ht="28">
      <c r="A72" s="146">
        <v>4</v>
      </c>
      <c r="B72" s="147" t="s">
        <v>432</v>
      </c>
      <c r="C72" s="10" t="s">
        <v>75</v>
      </c>
    </row>
    <row r="73" spans="1:3">
      <c r="A73" s="146">
        <v>4</v>
      </c>
      <c r="B73" s="147" t="s">
        <v>432</v>
      </c>
      <c r="C73" s="10" t="s">
        <v>78</v>
      </c>
    </row>
    <row r="74" spans="1:3">
      <c r="A74" s="146">
        <v>4</v>
      </c>
      <c r="B74" s="147" t="s">
        <v>432</v>
      </c>
      <c r="C74" s="10" t="s">
        <v>79</v>
      </c>
    </row>
    <row r="75" spans="1:3">
      <c r="A75" s="146">
        <v>5</v>
      </c>
      <c r="B75" s="147" t="s">
        <v>432</v>
      </c>
      <c r="C75" s="10" t="s">
        <v>81</v>
      </c>
    </row>
    <row r="76" spans="1:3">
      <c r="A76" s="136">
        <v>1</v>
      </c>
      <c r="B76" s="153" t="s">
        <v>433</v>
      </c>
      <c r="C76" s="10" t="s">
        <v>90</v>
      </c>
    </row>
    <row r="77" spans="1:3">
      <c r="A77" s="136">
        <v>3</v>
      </c>
      <c r="B77" s="153" t="s">
        <v>433</v>
      </c>
      <c r="C77" s="10" t="s">
        <v>91</v>
      </c>
    </row>
    <row r="78" spans="1:3" ht="15" customHeight="1">
      <c r="A78" s="136">
        <v>1</v>
      </c>
      <c r="B78" s="141" t="s">
        <v>108</v>
      </c>
      <c r="C78" s="10" t="s">
        <v>92</v>
      </c>
    </row>
    <row r="79" spans="1:3">
      <c r="A79" s="136">
        <v>1</v>
      </c>
      <c r="B79" s="141" t="s">
        <v>108</v>
      </c>
      <c r="C79" s="10" t="s">
        <v>93</v>
      </c>
    </row>
    <row r="80" spans="1:3">
      <c r="A80" s="136">
        <v>1</v>
      </c>
      <c r="B80" s="141" t="s">
        <v>108</v>
      </c>
      <c r="C80" s="10" t="s">
        <v>94</v>
      </c>
    </row>
    <row r="81" spans="1:3">
      <c r="A81" s="136">
        <v>2</v>
      </c>
      <c r="B81" s="141" t="s">
        <v>108</v>
      </c>
      <c r="C81" s="10" t="s">
        <v>97</v>
      </c>
    </row>
    <row r="82" spans="1:3">
      <c r="A82" s="136">
        <v>2</v>
      </c>
      <c r="B82" s="141" t="s">
        <v>108</v>
      </c>
      <c r="C82" s="142" t="s">
        <v>100</v>
      </c>
    </row>
    <row r="83" spans="1:3" ht="30" customHeight="1">
      <c r="A83" s="136">
        <v>1</v>
      </c>
      <c r="B83" s="141" t="s">
        <v>108</v>
      </c>
      <c r="C83" s="142" t="s">
        <v>95</v>
      </c>
    </row>
    <row r="84" spans="1:3">
      <c r="A84" s="136">
        <v>1</v>
      </c>
      <c r="B84" s="141" t="s">
        <v>108</v>
      </c>
      <c r="C84" s="142" t="s">
        <v>96</v>
      </c>
    </row>
    <row r="85" spans="1:3" ht="28">
      <c r="A85" s="136">
        <v>2</v>
      </c>
      <c r="B85" s="141" t="s">
        <v>108</v>
      </c>
      <c r="C85" s="142" t="s">
        <v>98</v>
      </c>
    </row>
    <row r="86" spans="1:3">
      <c r="A86" s="136">
        <v>2</v>
      </c>
      <c r="B86" s="141" t="s">
        <v>108</v>
      </c>
      <c r="C86" s="142" t="s">
        <v>99</v>
      </c>
    </row>
    <row r="87" spans="1:3">
      <c r="A87" s="136">
        <v>3</v>
      </c>
      <c r="B87" s="141" t="s">
        <v>108</v>
      </c>
      <c r="C87" s="142" t="s">
        <v>131</v>
      </c>
    </row>
    <row r="88" spans="1:3">
      <c r="A88" s="136">
        <v>3</v>
      </c>
      <c r="B88" s="141" t="s">
        <v>108</v>
      </c>
      <c r="C88" s="142" t="s">
        <v>132</v>
      </c>
    </row>
    <row r="89" spans="1:3">
      <c r="A89" s="136">
        <v>3</v>
      </c>
      <c r="B89" s="141" t="s">
        <v>108</v>
      </c>
      <c r="C89" s="142" t="s">
        <v>101</v>
      </c>
    </row>
    <row r="90" spans="1:3">
      <c r="A90" s="136">
        <v>4</v>
      </c>
      <c r="B90" s="141" t="s">
        <v>108</v>
      </c>
      <c r="C90" s="142" t="s">
        <v>104</v>
      </c>
    </row>
    <row r="91" spans="1:3" ht="15" customHeight="1">
      <c r="A91" s="136">
        <v>4</v>
      </c>
      <c r="B91" s="141" t="s">
        <v>108</v>
      </c>
      <c r="C91" s="10" t="s">
        <v>102</v>
      </c>
    </row>
    <row r="92" spans="1:3">
      <c r="A92" s="136">
        <v>4</v>
      </c>
      <c r="B92" s="141" t="s">
        <v>108</v>
      </c>
      <c r="C92" s="10" t="s">
        <v>103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5"/>
  <sheetViews>
    <sheetView showGridLines="0" workbookViewId="0">
      <selection activeCell="C24" sqref="C24"/>
    </sheetView>
  </sheetViews>
  <sheetFormatPr baseColWidth="10" defaultColWidth="8.83203125" defaultRowHeight="14" x14ac:dyDescent="0"/>
  <cols>
    <col min="3" max="3" width="3.1640625" style="100" customWidth="1"/>
    <col min="4" max="4" width="7.5" style="100" customWidth="1"/>
    <col min="5" max="5" width="7.33203125" customWidth="1"/>
  </cols>
  <sheetData>
    <row r="4" spans="3:10" ht="26.25" customHeight="1">
      <c r="C4" s="240" t="s">
        <v>145</v>
      </c>
      <c r="D4" s="241"/>
      <c r="E4" s="238" t="s">
        <v>225</v>
      </c>
      <c r="F4" s="238"/>
      <c r="G4" s="238"/>
      <c r="H4" s="238"/>
      <c r="I4" s="238"/>
      <c r="J4" s="124" t="s">
        <v>422</v>
      </c>
    </row>
    <row r="6" spans="3:10" ht="26.25" customHeight="1">
      <c r="C6" s="233" t="s">
        <v>146</v>
      </c>
      <c r="D6" s="233"/>
      <c r="E6" s="234"/>
      <c r="F6" s="242" t="s">
        <v>494</v>
      </c>
      <c r="G6" s="243"/>
      <c r="H6" s="243"/>
      <c r="I6" s="244"/>
    </row>
    <row r="7" spans="3:10" ht="26.25" customHeight="1">
      <c r="D7" s="233" t="s">
        <v>147</v>
      </c>
      <c r="E7" s="234"/>
      <c r="F7" s="245" t="s">
        <v>495</v>
      </c>
      <c r="G7" s="246"/>
      <c r="H7" s="246"/>
      <c r="I7" s="247"/>
    </row>
    <row r="8" spans="3:10" ht="26.25" customHeight="1">
      <c r="D8" s="233" t="s">
        <v>148</v>
      </c>
      <c r="E8" s="234"/>
      <c r="F8" s="245" t="s">
        <v>496</v>
      </c>
      <c r="G8" s="246"/>
      <c r="H8" s="246"/>
      <c r="I8" s="247"/>
    </row>
    <row r="9" spans="3:10">
      <c r="E9" s="101"/>
      <c r="F9" s="232"/>
      <c r="G9" s="232"/>
      <c r="H9" s="232"/>
      <c r="I9" s="232"/>
    </row>
    <row r="10" spans="3:10" ht="26.25" customHeight="1">
      <c r="C10" s="233" t="s">
        <v>146</v>
      </c>
      <c r="D10" s="233"/>
      <c r="E10" s="234"/>
      <c r="F10" s="235" t="s">
        <v>497</v>
      </c>
      <c r="G10" s="236"/>
      <c r="H10" s="236"/>
      <c r="I10" s="237"/>
    </row>
    <row r="11" spans="3:10" ht="26.25" customHeight="1">
      <c r="D11" s="233" t="s">
        <v>147</v>
      </c>
      <c r="E11" s="234"/>
      <c r="F11" s="235" t="s">
        <v>498</v>
      </c>
      <c r="G11" s="236"/>
      <c r="H11" s="236"/>
      <c r="I11" s="237"/>
    </row>
    <row r="12" spans="3:10" ht="26.25" customHeight="1">
      <c r="D12" s="233" t="s">
        <v>148</v>
      </c>
      <c r="E12" s="234"/>
      <c r="F12" s="235" t="s">
        <v>477</v>
      </c>
      <c r="G12" s="236"/>
      <c r="H12" s="236"/>
      <c r="I12" s="237"/>
    </row>
    <row r="13" spans="3:10">
      <c r="E13" s="101"/>
      <c r="F13" s="100"/>
      <c r="G13" s="100"/>
      <c r="H13" s="100"/>
      <c r="I13" s="100"/>
    </row>
    <row r="14" spans="3:10" ht="26.25" customHeight="1">
      <c r="C14" s="233" t="s">
        <v>416</v>
      </c>
      <c r="D14" s="233"/>
      <c r="E14" s="234"/>
      <c r="F14" s="239">
        <v>42416</v>
      </c>
      <c r="G14" s="239"/>
      <c r="H14" s="239"/>
      <c r="I14" s="239"/>
    </row>
    <row r="15" spans="3:10">
      <c r="F15" s="102"/>
      <c r="G15" s="102"/>
      <c r="H15" s="102"/>
      <c r="I15" s="102"/>
    </row>
  </sheetData>
  <sheetProtection password="CAED" sheet="1" objects="1" scenarios="1"/>
  <mergeCells count="16">
    <mergeCell ref="C14:E14"/>
    <mergeCell ref="F12:I12"/>
    <mergeCell ref="E4:I4"/>
    <mergeCell ref="F14:I14"/>
    <mergeCell ref="C4:D4"/>
    <mergeCell ref="C6:E6"/>
    <mergeCell ref="D7:E7"/>
    <mergeCell ref="D8:E8"/>
    <mergeCell ref="C10:E10"/>
    <mergeCell ref="D11:E11"/>
    <mergeCell ref="F6:I6"/>
    <mergeCell ref="F7:I7"/>
    <mergeCell ref="F8:I8"/>
    <mergeCell ref="F10:I10"/>
    <mergeCell ref="F11:I11"/>
    <mergeCell ref="D12:E12"/>
  </mergeCells>
  <dataValidations count="2">
    <dataValidation type="list" sqref="E4:I4">
      <formula1>COUNTRY</formula1>
    </dataValidation>
    <dataValidation type="date" showErrorMessage="1" error="Please enter a valid date" sqref="F14:I14">
      <formula1>41640</formula1>
      <formula2>47847</formula2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7"/>
  <sheetViews>
    <sheetView workbookViewId="0">
      <selection sqref="A1:A1048576"/>
    </sheetView>
  </sheetViews>
  <sheetFormatPr baseColWidth="10" defaultColWidth="8.83203125" defaultRowHeight="14" x14ac:dyDescent="0"/>
  <cols>
    <col min="1" max="1" width="24.5" bestFit="1" customWidth="1"/>
  </cols>
  <sheetData>
    <row r="1" spans="1:1">
      <c r="A1" t="s">
        <v>149</v>
      </c>
    </row>
    <row r="2" spans="1:1">
      <c r="A2" t="s">
        <v>150</v>
      </c>
    </row>
    <row r="3" spans="1:1">
      <c r="A3" t="s">
        <v>151</v>
      </c>
    </row>
    <row r="4" spans="1:1">
      <c r="A4" t="s">
        <v>152</v>
      </c>
    </row>
    <row r="5" spans="1:1">
      <c r="A5" t="s">
        <v>153</v>
      </c>
    </row>
    <row r="6" spans="1:1">
      <c r="A6" t="s">
        <v>154</v>
      </c>
    </row>
    <row r="7" spans="1:1">
      <c r="A7" t="s">
        <v>155</v>
      </c>
    </row>
    <row r="8" spans="1:1">
      <c r="A8" t="s">
        <v>156</v>
      </c>
    </row>
    <row r="9" spans="1:1">
      <c r="A9" t="s">
        <v>157</v>
      </c>
    </row>
    <row r="10" spans="1:1">
      <c r="A10" t="s">
        <v>158</v>
      </c>
    </row>
    <row r="11" spans="1:1">
      <c r="A11" t="s">
        <v>159</v>
      </c>
    </row>
    <row r="12" spans="1:1">
      <c r="A12" t="s">
        <v>160</v>
      </c>
    </row>
    <row r="13" spans="1:1">
      <c r="A13" t="s">
        <v>161</v>
      </c>
    </row>
    <row r="14" spans="1:1">
      <c r="A14" t="s">
        <v>162</v>
      </c>
    </row>
    <row r="15" spans="1:1">
      <c r="A15" t="s">
        <v>163</v>
      </c>
    </row>
    <row r="16" spans="1:1">
      <c r="A16" t="s">
        <v>164</v>
      </c>
    </row>
    <row r="17" spans="1:1">
      <c r="A17" t="s">
        <v>165</v>
      </c>
    </row>
    <row r="18" spans="1:1">
      <c r="A18" t="s">
        <v>166</v>
      </c>
    </row>
    <row r="19" spans="1:1">
      <c r="A19" t="s">
        <v>167</v>
      </c>
    </row>
    <row r="20" spans="1:1">
      <c r="A20" t="s">
        <v>168</v>
      </c>
    </row>
    <row r="21" spans="1:1">
      <c r="A21" t="s">
        <v>169</v>
      </c>
    </row>
    <row r="22" spans="1:1">
      <c r="A22" t="s">
        <v>170</v>
      </c>
    </row>
    <row r="23" spans="1:1">
      <c r="A23" t="s">
        <v>171</v>
      </c>
    </row>
    <row r="24" spans="1:1">
      <c r="A24" t="s">
        <v>172</v>
      </c>
    </row>
    <row r="25" spans="1:1">
      <c r="A25" t="s">
        <v>173</v>
      </c>
    </row>
    <row r="26" spans="1:1">
      <c r="A26" t="s">
        <v>174</v>
      </c>
    </row>
    <row r="27" spans="1:1">
      <c r="A27" t="s">
        <v>175</v>
      </c>
    </row>
    <row r="28" spans="1:1">
      <c r="A28" t="s">
        <v>176</v>
      </c>
    </row>
    <row r="29" spans="1:1">
      <c r="A29" t="s">
        <v>177</v>
      </c>
    </row>
    <row r="30" spans="1:1">
      <c r="A30" t="s">
        <v>178</v>
      </c>
    </row>
    <row r="31" spans="1:1">
      <c r="A31" t="s">
        <v>179</v>
      </c>
    </row>
    <row r="32" spans="1:1">
      <c r="A32" t="s">
        <v>180</v>
      </c>
    </row>
    <row r="33" spans="1:1">
      <c r="A33" t="s">
        <v>181</v>
      </c>
    </row>
    <row r="34" spans="1:1">
      <c r="A34" t="s">
        <v>182</v>
      </c>
    </row>
    <row r="35" spans="1:1">
      <c r="A35" t="s">
        <v>183</v>
      </c>
    </row>
    <row r="36" spans="1:1">
      <c r="A36" t="s">
        <v>184</v>
      </c>
    </row>
    <row r="37" spans="1:1">
      <c r="A37" t="s">
        <v>185</v>
      </c>
    </row>
    <row r="38" spans="1:1">
      <c r="A38" t="s">
        <v>186</v>
      </c>
    </row>
    <row r="39" spans="1:1">
      <c r="A39" t="s">
        <v>187</v>
      </c>
    </row>
    <row r="40" spans="1:1">
      <c r="A40" t="s">
        <v>188</v>
      </c>
    </row>
    <row r="41" spans="1:1">
      <c r="A41" t="s">
        <v>189</v>
      </c>
    </row>
    <row r="42" spans="1:1">
      <c r="A42" t="s">
        <v>190</v>
      </c>
    </row>
    <row r="43" spans="1:1">
      <c r="A43" t="s">
        <v>191</v>
      </c>
    </row>
    <row r="44" spans="1:1">
      <c r="A44" t="s">
        <v>192</v>
      </c>
    </row>
    <row r="45" spans="1:1">
      <c r="A45" t="s">
        <v>193</v>
      </c>
    </row>
    <row r="46" spans="1:1">
      <c r="A46" t="s">
        <v>194</v>
      </c>
    </row>
    <row r="47" spans="1:1">
      <c r="A47" t="s">
        <v>195</v>
      </c>
    </row>
    <row r="48" spans="1:1">
      <c r="A48" t="s">
        <v>196</v>
      </c>
    </row>
    <row r="49" spans="1:1">
      <c r="A49" t="s">
        <v>197</v>
      </c>
    </row>
    <row r="50" spans="1:1">
      <c r="A50" t="s">
        <v>198</v>
      </c>
    </row>
    <row r="51" spans="1:1">
      <c r="A51" t="s">
        <v>199</v>
      </c>
    </row>
    <row r="52" spans="1:1">
      <c r="A52" t="s">
        <v>200</v>
      </c>
    </row>
    <row r="53" spans="1:1">
      <c r="A53" t="s">
        <v>201</v>
      </c>
    </row>
    <row r="54" spans="1:1">
      <c r="A54" t="s">
        <v>202</v>
      </c>
    </row>
    <row r="55" spans="1:1">
      <c r="A55" t="s">
        <v>203</v>
      </c>
    </row>
    <row r="56" spans="1:1">
      <c r="A56" t="s">
        <v>204</v>
      </c>
    </row>
    <row r="57" spans="1:1">
      <c r="A57" t="s">
        <v>205</v>
      </c>
    </row>
    <row r="58" spans="1:1">
      <c r="A58" t="s">
        <v>206</v>
      </c>
    </row>
    <row r="59" spans="1:1">
      <c r="A59" t="s">
        <v>207</v>
      </c>
    </row>
    <row r="60" spans="1:1">
      <c r="A60" t="s">
        <v>208</v>
      </c>
    </row>
    <row r="61" spans="1:1">
      <c r="A61" t="s">
        <v>209</v>
      </c>
    </row>
    <row r="62" spans="1:1">
      <c r="A62" t="s">
        <v>210</v>
      </c>
    </row>
    <row r="63" spans="1:1">
      <c r="A63" t="s">
        <v>211</v>
      </c>
    </row>
    <row r="64" spans="1:1">
      <c r="A64" t="s">
        <v>212</v>
      </c>
    </row>
    <row r="65" spans="1:1">
      <c r="A65" t="s">
        <v>213</v>
      </c>
    </row>
    <row r="66" spans="1:1">
      <c r="A66" t="s">
        <v>214</v>
      </c>
    </row>
    <row r="67" spans="1:1">
      <c r="A67" t="s">
        <v>215</v>
      </c>
    </row>
    <row r="68" spans="1:1">
      <c r="A68" t="s">
        <v>216</v>
      </c>
    </row>
    <row r="69" spans="1:1">
      <c r="A69" t="s">
        <v>217</v>
      </c>
    </row>
    <row r="70" spans="1:1">
      <c r="A70" t="s">
        <v>218</v>
      </c>
    </row>
    <row r="71" spans="1:1">
      <c r="A71" t="s">
        <v>219</v>
      </c>
    </row>
    <row r="72" spans="1:1">
      <c r="A72" t="s">
        <v>220</v>
      </c>
    </row>
    <row r="73" spans="1:1">
      <c r="A73" t="s">
        <v>221</v>
      </c>
    </row>
    <row r="74" spans="1:1">
      <c r="A74" t="s">
        <v>222</v>
      </c>
    </row>
    <row r="75" spans="1:1">
      <c r="A75" t="s">
        <v>223</v>
      </c>
    </row>
    <row r="76" spans="1:1">
      <c r="A76" t="s">
        <v>224</v>
      </c>
    </row>
    <row r="77" spans="1:1">
      <c r="A77" t="s">
        <v>225</v>
      </c>
    </row>
    <row r="78" spans="1:1">
      <c r="A78" t="s">
        <v>226</v>
      </c>
    </row>
    <row r="79" spans="1:1">
      <c r="A79" t="s">
        <v>227</v>
      </c>
    </row>
    <row r="80" spans="1:1">
      <c r="A80" t="s">
        <v>228</v>
      </c>
    </row>
    <row r="81" spans="1:1">
      <c r="A81" t="s">
        <v>229</v>
      </c>
    </row>
    <row r="82" spans="1:1">
      <c r="A82" t="s">
        <v>230</v>
      </c>
    </row>
    <row r="83" spans="1:1">
      <c r="A83" t="s">
        <v>231</v>
      </c>
    </row>
    <row r="84" spans="1:1">
      <c r="A84" t="s">
        <v>232</v>
      </c>
    </row>
    <row r="85" spans="1:1">
      <c r="A85" t="s">
        <v>233</v>
      </c>
    </row>
    <row r="86" spans="1:1">
      <c r="A86" t="s">
        <v>234</v>
      </c>
    </row>
    <row r="87" spans="1:1">
      <c r="A87" t="s">
        <v>235</v>
      </c>
    </row>
    <row r="88" spans="1:1">
      <c r="A88" t="s">
        <v>236</v>
      </c>
    </row>
    <row r="89" spans="1:1">
      <c r="A89" t="s">
        <v>237</v>
      </c>
    </row>
    <row r="90" spans="1:1">
      <c r="A90" t="s">
        <v>238</v>
      </c>
    </row>
    <row r="91" spans="1:1">
      <c r="A91" t="s">
        <v>239</v>
      </c>
    </row>
    <row r="92" spans="1:1">
      <c r="A92" t="s">
        <v>240</v>
      </c>
    </row>
    <row r="93" spans="1:1">
      <c r="A93" t="s">
        <v>241</v>
      </c>
    </row>
    <row r="94" spans="1:1">
      <c r="A94" t="s">
        <v>242</v>
      </c>
    </row>
    <row r="95" spans="1:1">
      <c r="A95" t="s">
        <v>243</v>
      </c>
    </row>
    <row r="96" spans="1:1">
      <c r="A96" t="s">
        <v>244</v>
      </c>
    </row>
    <row r="97" spans="1:1">
      <c r="A97" t="s">
        <v>245</v>
      </c>
    </row>
    <row r="98" spans="1:1">
      <c r="A98" t="s">
        <v>246</v>
      </c>
    </row>
    <row r="99" spans="1:1">
      <c r="A99" t="s">
        <v>247</v>
      </c>
    </row>
    <row r="100" spans="1:1">
      <c r="A100" t="s">
        <v>248</v>
      </c>
    </row>
    <row r="101" spans="1:1">
      <c r="A101" t="s">
        <v>249</v>
      </c>
    </row>
    <row r="102" spans="1:1">
      <c r="A102" t="s">
        <v>250</v>
      </c>
    </row>
    <row r="103" spans="1:1">
      <c r="A103" t="s">
        <v>251</v>
      </c>
    </row>
    <row r="104" spans="1:1">
      <c r="A104" t="s">
        <v>252</v>
      </c>
    </row>
    <row r="105" spans="1:1">
      <c r="A105" t="s">
        <v>253</v>
      </c>
    </row>
    <row r="106" spans="1:1">
      <c r="A106" t="s">
        <v>254</v>
      </c>
    </row>
    <row r="107" spans="1:1">
      <c r="A107" t="s">
        <v>255</v>
      </c>
    </row>
    <row r="108" spans="1:1">
      <c r="A108" t="s">
        <v>256</v>
      </c>
    </row>
    <row r="109" spans="1:1">
      <c r="A109" t="s">
        <v>257</v>
      </c>
    </row>
    <row r="110" spans="1:1">
      <c r="A110" t="s">
        <v>258</v>
      </c>
    </row>
    <row r="111" spans="1:1">
      <c r="A111" t="s">
        <v>259</v>
      </c>
    </row>
    <row r="112" spans="1:1">
      <c r="A112" t="s">
        <v>260</v>
      </c>
    </row>
    <row r="113" spans="1:1">
      <c r="A113" t="s">
        <v>261</v>
      </c>
    </row>
    <row r="114" spans="1:1">
      <c r="A114" t="s">
        <v>262</v>
      </c>
    </row>
    <row r="115" spans="1:1">
      <c r="A115" t="s">
        <v>263</v>
      </c>
    </row>
    <row r="116" spans="1:1">
      <c r="A116" t="s">
        <v>264</v>
      </c>
    </row>
    <row r="117" spans="1:1">
      <c r="A117" t="s">
        <v>265</v>
      </c>
    </row>
    <row r="118" spans="1:1">
      <c r="A118" t="s">
        <v>266</v>
      </c>
    </row>
    <row r="119" spans="1:1">
      <c r="A119" t="s">
        <v>267</v>
      </c>
    </row>
    <row r="120" spans="1:1">
      <c r="A120" t="s">
        <v>268</v>
      </c>
    </row>
    <row r="121" spans="1:1">
      <c r="A121" t="s">
        <v>269</v>
      </c>
    </row>
    <row r="122" spans="1:1">
      <c r="A122" t="s">
        <v>270</v>
      </c>
    </row>
    <row r="123" spans="1:1">
      <c r="A123" t="s">
        <v>271</v>
      </c>
    </row>
    <row r="124" spans="1:1">
      <c r="A124" t="s">
        <v>272</v>
      </c>
    </row>
    <row r="125" spans="1:1">
      <c r="A125" t="s">
        <v>273</v>
      </c>
    </row>
    <row r="126" spans="1:1">
      <c r="A126" t="s">
        <v>274</v>
      </c>
    </row>
    <row r="127" spans="1:1">
      <c r="A127" t="s">
        <v>275</v>
      </c>
    </row>
    <row r="128" spans="1:1">
      <c r="A128" t="s">
        <v>276</v>
      </c>
    </row>
    <row r="129" spans="1:1">
      <c r="A129" t="s">
        <v>277</v>
      </c>
    </row>
    <row r="130" spans="1:1">
      <c r="A130" t="s">
        <v>278</v>
      </c>
    </row>
    <row r="131" spans="1:1">
      <c r="A131" t="s">
        <v>279</v>
      </c>
    </row>
    <row r="132" spans="1:1">
      <c r="A132" t="s">
        <v>280</v>
      </c>
    </row>
    <row r="133" spans="1:1">
      <c r="A133" t="s">
        <v>281</v>
      </c>
    </row>
    <row r="134" spans="1:1">
      <c r="A134" t="s">
        <v>282</v>
      </c>
    </row>
    <row r="135" spans="1:1">
      <c r="A135" t="s">
        <v>283</v>
      </c>
    </row>
    <row r="136" spans="1:1">
      <c r="A136" t="s">
        <v>284</v>
      </c>
    </row>
    <row r="137" spans="1:1">
      <c r="A137" t="s">
        <v>285</v>
      </c>
    </row>
    <row r="138" spans="1:1">
      <c r="A138" t="s">
        <v>286</v>
      </c>
    </row>
    <row r="139" spans="1:1">
      <c r="A139" t="s">
        <v>287</v>
      </c>
    </row>
    <row r="140" spans="1:1">
      <c r="A140" t="s">
        <v>288</v>
      </c>
    </row>
    <row r="141" spans="1:1">
      <c r="A141" t="s">
        <v>289</v>
      </c>
    </row>
    <row r="142" spans="1:1">
      <c r="A142" t="s">
        <v>290</v>
      </c>
    </row>
    <row r="143" spans="1:1">
      <c r="A143" t="s">
        <v>291</v>
      </c>
    </row>
    <row r="144" spans="1:1">
      <c r="A144" t="s">
        <v>292</v>
      </c>
    </row>
    <row r="145" spans="1:1">
      <c r="A145" t="s">
        <v>293</v>
      </c>
    </row>
    <row r="146" spans="1:1">
      <c r="A146" t="s">
        <v>294</v>
      </c>
    </row>
    <row r="147" spans="1:1">
      <c r="A147" t="s">
        <v>295</v>
      </c>
    </row>
    <row r="148" spans="1:1">
      <c r="A148" t="s">
        <v>296</v>
      </c>
    </row>
    <row r="149" spans="1:1">
      <c r="A149" t="s">
        <v>297</v>
      </c>
    </row>
    <row r="150" spans="1:1">
      <c r="A150" t="s">
        <v>298</v>
      </c>
    </row>
    <row r="151" spans="1:1">
      <c r="A151" t="s">
        <v>299</v>
      </c>
    </row>
    <row r="152" spans="1:1">
      <c r="A152" t="s">
        <v>300</v>
      </c>
    </row>
    <row r="153" spans="1:1">
      <c r="A153" t="s">
        <v>301</v>
      </c>
    </row>
    <row r="154" spans="1:1">
      <c r="A154" t="s">
        <v>302</v>
      </c>
    </row>
    <row r="155" spans="1:1">
      <c r="A155" t="s">
        <v>303</v>
      </c>
    </row>
    <row r="156" spans="1:1">
      <c r="A156" t="s">
        <v>304</v>
      </c>
    </row>
    <row r="157" spans="1:1">
      <c r="A157" t="s">
        <v>305</v>
      </c>
    </row>
    <row r="158" spans="1:1">
      <c r="A158" t="s">
        <v>306</v>
      </c>
    </row>
    <row r="159" spans="1:1">
      <c r="A159" t="s">
        <v>307</v>
      </c>
    </row>
    <row r="160" spans="1:1">
      <c r="A160" t="s">
        <v>308</v>
      </c>
    </row>
    <row r="161" spans="1:1">
      <c r="A161" t="s">
        <v>309</v>
      </c>
    </row>
    <row r="162" spans="1:1">
      <c r="A162" t="s">
        <v>310</v>
      </c>
    </row>
    <row r="163" spans="1:1">
      <c r="A163" t="s">
        <v>311</v>
      </c>
    </row>
    <row r="164" spans="1:1">
      <c r="A164" t="s">
        <v>312</v>
      </c>
    </row>
    <row r="165" spans="1:1">
      <c r="A165" t="s">
        <v>313</v>
      </c>
    </row>
    <row r="166" spans="1:1">
      <c r="A166" t="s">
        <v>314</v>
      </c>
    </row>
    <row r="167" spans="1:1">
      <c r="A167" t="s">
        <v>315</v>
      </c>
    </row>
    <row r="168" spans="1:1">
      <c r="A168" t="s">
        <v>316</v>
      </c>
    </row>
    <row r="169" spans="1:1">
      <c r="A169" t="s">
        <v>317</v>
      </c>
    </row>
    <row r="170" spans="1:1">
      <c r="A170" t="s">
        <v>318</v>
      </c>
    </row>
    <row r="171" spans="1:1">
      <c r="A171" t="s">
        <v>319</v>
      </c>
    </row>
    <row r="172" spans="1:1">
      <c r="A172" t="s">
        <v>320</v>
      </c>
    </row>
    <row r="173" spans="1:1">
      <c r="A173" t="s">
        <v>321</v>
      </c>
    </row>
    <row r="174" spans="1:1">
      <c r="A174" t="s">
        <v>322</v>
      </c>
    </row>
    <row r="175" spans="1:1">
      <c r="A175" t="s">
        <v>323</v>
      </c>
    </row>
    <row r="176" spans="1:1">
      <c r="A176" t="s">
        <v>324</v>
      </c>
    </row>
    <row r="177" spans="1:1">
      <c r="A177" t="s">
        <v>325</v>
      </c>
    </row>
    <row r="178" spans="1:1">
      <c r="A178" t="s">
        <v>326</v>
      </c>
    </row>
    <row r="179" spans="1:1">
      <c r="A179" t="s">
        <v>327</v>
      </c>
    </row>
    <row r="180" spans="1:1">
      <c r="A180" t="s">
        <v>328</v>
      </c>
    </row>
    <row r="181" spans="1:1">
      <c r="A181" t="s">
        <v>329</v>
      </c>
    </row>
    <row r="182" spans="1:1">
      <c r="A182" t="s">
        <v>330</v>
      </c>
    </row>
    <row r="183" spans="1:1">
      <c r="A183" t="s">
        <v>331</v>
      </c>
    </row>
    <row r="184" spans="1:1">
      <c r="A184" t="s">
        <v>332</v>
      </c>
    </row>
    <row r="185" spans="1:1">
      <c r="A185" t="s">
        <v>333</v>
      </c>
    </row>
    <row r="186" spans="1:1">
      <c r="A186" t="s">
        <v>334</v>
      </c>
    </row>
    <row r="187" spans="1:1">
      <c r="A187" t="s">
        <v>335</v>
      </c>
    </row>
    <row r="188" spans="1:1">
      <c r="A188" t="s">
        <v>336</v>
      </c>
    </row>
    <row r="189" spans="1:1">
      <c r="A189" t="s">
        <v>337</v>
      </c>
    </row>
    <row r="190" spans="1:1">
      <c r="A190" t="s">
        <v>338</v>
      </c>
    </row>
    <row r="191" spans="1:1">
      <c r="A191" t="s">
        <v>339</v>
      </c>
    </row>
    <row r="192" spans="1:1">
      <c r="A192" t="s">
        <v>340</v>
      </c>
    </row>
    <row r="193" spans="1:1">
      <c r="A193" t="s">
        <v>341</v>
      </c>
    </row>
    <row r="194" spans="1:1">
      <c r="A194" t="s">
        <v>342</v>
      </c>
    </row>
    <row r="195" spans="1:1">
      <c r="A195" t="s">
        <v>343</v>
      </c>
    </row>
    <row r="196" spans="1:1">
      <c r="A196" t="s">
        <v>344</v>
      </c>
    </row>
    <row r="197" spans="1:1">
      <c r="A197" t="s">
        <v>345</v>
      </c>
    </row>
    <row r="198" spans="1:1">
      <c r="A198" t="s">
        <v>346</v>
      </c>
    </row>
    <row r="199" spans="1:1">
      <c r="A199" t="s">
        <v>347</v>
      </c>
    </row>
    <row r="200" spans="1:1">
      <c r="A200" t="s">
        <v>348</v>
      </c>
    </row>
    <row r="201" spans="1:1">
      <c r="A201" t="s">
        <v>349</v>
      </c>
    </row>
    <row r="202" spans="1:1">
      <c r="A202" t="s">
        <v>350</v>
      </c>
    </row>
    <row r="203" spans="1:1">
      <c r="A203" t="s">
        <v>351</v>
      </c>
    </row>
    <row r="204" spans="1:1">
      <c r="A204" t="s">
        <v>352</v>
      </c>
    </row>
    <row r="205" spans="1:1">
      <c r="A205" t="s">
        <v>353</v>
      </c>
    </row>
    <row r="206" spans="1:1">
      <c r="A206" t="s">
        <v>354</v>
      </c>
    </row>
    <row r="207" spans="1:1">
      <c r="A207" t="s">
        <v>355</v>
      </c>
    </row>
    <row r="208" spans="1:1">
      <c r="A208" t="s">
        <v>356</v>
      </c>
    </row>
    <row r="209" spans="1:1">
      <c r="A209" t="s">
        <v>357</v>
      </c>
    </row>
    <row r="210" spans="1:1">
      <c r="A210" t="s">
        <v>358</v>
      </c>
    </row>
    <row r="211" spans="1:1">
      <c r="A211" t="s">
        <v>359</v>
      </c>
    </row>
    <row r="212" spans="1:1">
      <c r="A212" t="s">
        <v>360</v>
      </c>
    </row>
    <row r="213" spans="1:1">
      <c r="A213" t="s">
        <v>361</v>
      </c>
    </row>
    <row r="214" spans="1:1">
      <c r="A214" t="s">
        <v>362</v>
      </c>
    </row>
    <row r="215" spans="1:1">
      <c r="A215" t="s">
        <v>363</v>
      </c>
    </row>
    <row r="216" spans="1:1">
      <c r="A216" t="s">
        <v>364</v>
      </c>
    </row>
    <row r="217" spans="1:1">
      <c r="A217" t="s">
        <v>365</v>
      </c>
    </row>
    <row r="218" spans="1:1">
      <c r="A218" t="s">
        <v>366</v>
      </c>
    </row>
    <row r="219" spans="1:1">
      <c r="A219" t="s">
        <v>367</v>
      </c>
    </row>
    <row r="220" spans="1:1">
      <c r="A220" t="s">
        <v>368</v>
      </c>
    </row>
    <row r="221" spans="1:1">
      <c r="A221" t="s">
        <v>369</v>
      </c>
    </row>
    <row r="222" spans="1:1">
      <c r="A222" t="s">
        <v>370</v>
      </c>
    </row>
    <row r="223" spans="1:1">
      <c r="A223" t="s">
        <v>371</v>
      </c>
    </row>
    <row r="224" spans="1:1">
      <c r="A224" t="s">
        <v>372</v>
      </c>
    </row>
    <row r="225" spans="1:1">
      <c r="A225" t="s">
        <v>373</v>
      </c>
    </row>
    <row r="226" spans="1:1">
      <c r="A226" t="s">
        <v>374</v>
      </c>
    </row>
    <row r="227" spans="1:1">
      <c r="A227" t="s">
        <v>375</v>
      </c>
    </row>
    <row r="228" spans="1:1">
      <c r="A228" t="s">
        <v>376</v>
      </c>
    </row>
    <row r="229" spans="1:1">
      <c r="A229" t="s">
        <v>377</v>
      </c>
    </row>
    <row r="230" spans="1:1">
      <c r="A230" t="s">
        <v>378</v>
      </c>
    </row>
    <row r="231" spans="1:1">
      <c r="A231" t="s">
        <v>379</v>
      </c>
    </row>
    <row r="232" spans="1:1">
      <c r="A232" t="s">
        <v>380</v>
      </c>
    </row>
    <row r="233" spans="1:1">
      <c r="A233" t="s">
        <v>381</v>
      </c>
    </row>
    <row r="234" spans="1:1">
      <c r="A234" t="s">
        <v>382</v>
      </c>
    </row>
    <row r="235" spans="1:1">
      <c r="A235" t="s">
        <v>383</v>
      </c>
    </row>
    <row r="236" spans="1:1">
      <c r="A236" t="s">
        <v>384</v>
      </c>
    </row>
    <row r="237" spans="1:1">
      <c r="A237" t="s">
        <v>385</v>
      </c>
    </row>
    <row r="238" spans="1:1">
      <c r="A238" t="s">
        <v>386</v>
      </c>
    </row>
    <row r="239" spans="1:1">
      <c r="A239" t="s">
        <v>387</v>
      </c>
    </row>
    <row r="240" spans="1:1">
      <c r="A240" t="s">
        <v>388</v>
      </c>
    </row>
    <row r="241" spans="1:1">
      <c r="A241" t="s">
        <v>389</v>
      </c>
    </row>
    <row r="242" spans="1:1">
      <c r="A242" t="s">
        <v>390</v>
      </c>
    </row>
    <row r="243" spans="1:1">
      <c r="A243" t="s">
        <v>391</v>
      </c>
    </row>
    <row r="244" spans="1:1">
      <c r="A244" t="s">
        <v>392</v>
      </c>
    </row>
    <row r="245" spans="1:1">
      <c r="A245" t="s">
        <v>393</v>
      </c>
    </row>
    <row r="246" spans="1:1">
      <c r="A246" t="s">
        <v>394</v>
      </c>
    </row>
    <row r="247" spans="1:1">
      <c r="A247" t="s">
        <v>395</v>
      </c>
    </row>
    <row r="248" spans="1:1">
      <c r="A248" t="s">
        <v>396</v>
      </c>
    </row>
    <row r="249" spans="1:1">
      <c r="A249" t="s">
        <v>397</v>
      </c>
    </row>
    <row r="250" spans="1:1">
      <c r="A250" t="s">
        <v>398</v>
      </c>
    </row>
    <row r="251" spans="1:1">
      <c r="A251" t="s">
        <v>399</v>
      </c>
    </row>
    <row r="252" spans="1:1">
      <c r="A252" t="s">
        <v>400</v>
      </c>
    </row>
    <row r="253" spans="1:1">
      <c r="A253" t="s">
        <v>401</v>
      </c>
    </row>
    <row r="254" spans="1:1">
      <c r="A254" t="s">
        <v>402</v>
      </c>
    </row>
    <row r="255" spans="1:1">
      <c r="A255" t="s">
        <v>403</v>
      </c>
    </row>
    <row r="256" spans="1:1">
      <c r="A256" t="s">
        <v>404</v>
      </c>
    </row>
    <row r="257" spans="1:1">
      <c r="A257" t="s">
        <v>405</v>
      </c>
    </row>
    <row r="258" spans="1:1">
      <c r="A258" t="s">
        <v>406</v>
      </c>
    </row>
    <row r="259" spans="1:1">
      <c r="A259" t="s">
        <v>407</v>
      </c>
    </row>
    <row r="260" spans="1:1">
      <c r="A260" t="s">
        <v>408</v>
      </c>
    </row>
    <row r="261" spans="1:1">
      <c r="A261" t="s">
        <v>409</v>
      </c>
    </row>
    <row r="262" spans="1:1">
      <c r="A262" t="s">
        <v>410</v>
      </c>
    </row>
    <row r="263" spans="1:1">
      <c r="A263" t="s">
        <v>411</v>
      </c>
    </row>
    <row r="264" spans="1:1">
      <c r="A264" t="s">
        <v>412</v>
      </c>
    </row>
    <row r="265" spans="1:1">
      <c r="A265" t="s">
        <v>413</v>
      </c>
    </row>
    <row r="266" spans="1:1">
      <c r="A266" t="s">
        <v>414</v>
      </c>
    </row>
    <row r="267" spans="1:1">
      <c r="A267" t="s">
        <v>415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zoomScale="110" zoomScaleNormal="110" zoomScalePageLayoutView="110" workbookViewId="0">
      <selection activeCell="C24" sqref="C24"/>
    </sheetView>
  </sheetViews>
  <sheetFormatPr baseColWidth="10" defaultColWidth="8.83203125" defaultRowHeight="14" x14ac:dyDescent="0"/>
  <cols>
    <col min="1" max="1" width="9.1640625" style="4" customWidth="1"/>
    <col min="2" max="2" width="14.83203125" style="5" customWidth="1"/>
    <col min="3" max="3" width="56" style="5" customWidth="1"/>
    <col min="4" max="4" width="50.33203125" style="5" customWidth="1"/>
    <col min="6" max="6" width="47.1640625" style="5" customWidth="1"/>
    <col min="7" max="7" width="79.5" style="160" customWidth="1"/>
  </cols>
  <sheetData>
    <row r="1" spans="1:7" ht="15">
      <c r="A1" s="14" t="s">
        <v>111</v>
      </c>
    </row>
    <row r="2" spans="1:7">
      <c r="A2" s="2" t="s">
        <v>4</v>
      </c>
    </row>
    <row r="3" spans="1:7">
      <c r="A3" s="2"/>
    </row>
    <row r="4" spans="1:7" s="1" customFormat="1" ht="28">
      <c r="A4" s="90" t="s">
        <v>0</v>
      </c>
      <c r="B4" s="94" t="s">
        <v>142</v>
      </c>
      <c r="C4" s="91" t="s">
        <v>1</v>
      </c>
      <c r="D4" s="109" t="s">
        <v>417</v>
      </c>
      <c r="E4" s="92" t="s">
        <v>2</v>
      </c>
      <c r="F4" s="183" t="s">
        <v>3</v>
      </c>
      <c r="G4" s="161"/>
    </row>
    <row r="5" spans="1:7" s="16" customFormat="1">
      <c r="A5" s="17">
        <v>0</v>
      </c>
      <c r="B5" s="248" t="s">
        <v>11</v>
      </c>
      <c r="C5" s="22" t="s">
        <v>12</v>
      </c>
      <c r="D5" s="18"/>
      <c r="E5" s="104">
        <v>1</v>
      </c>
      <c r="F5" s="184"/>
      <c r="G5" s="160"/>
    </row>
    <row r="6" spans="1:7" s="16" customFormat="1" ht="28">
      <c r="A6" s="19">
        <v>1</v>
      </c>
      <c r="B6" s="249"/>
      <c r="C6" s="23" t="s">
        <v>468</v>
      </c>
      <c r="D6" s="10" t="s">
        <v>109</v>
      </c>
      <c r="E6" s="103">
        <v>0</v>
      </c>
      <c r="F6" s="185" t="s">
        <v>475</v>
      </c>
      <c r="G6" s="160"/>
    </row>
    <row r="7" spans="1:7" s="16" customFormat="1" ht="28">
      <c r="A7" s="20">
        <v>2</v>
      </c>
      <c r="B7" s="250"/>
      <c r="C7" s="24" t="s">
        <v>140</v>
      </c>
      <c r="D7" s="21" t="s">
        <v>469</v>
      </c>
      <c r="E7" s="105">
        <v>0</v>
      </c>
      <c r="F7" s="186"/>
      <c r="G7" s="160"/>
    </row>
    <row r="8" spans="1:7" s="16" customFormat="1">
      <c r="A8" s="17">
        <v>0</v>
      </c>
      <c r="B8" s="248" t="s">
        <v>13</v>
      </c>
      <c r="C8" s="22" t="s">
        <v>14</v>
      </c>
      <c r="D8" s="18"/>
      <c r="E8" s="104">
        <v>1</v>
      </c>
      <c r="F8" s="184"/>
      <c r="G8" s="160"/>
    </row>
    <row r="9" spans="1:7" s="16" customFormat="1" ht="28">
      <c r="A9" s="19">
        <v>1</v>
      </c>
      <c r="B9" s="249"/>
      <c r="C9" s="23" t="s">
        <v>484</v>
      </c>
      <c r="D9" s="10" t="s">
        <v>109</v>
      </c>
      <c r="E9" s="103">
        <v>1</v>
      </c>
      <c r="F9" s="185" t="s">
        <v>499</v>
      </c>
      <c r="G9" s="160"/>
    </row>
    <row r="10" spans="1:7" s="16" customFormat="1" ht="28">
      <c r="A10" s="20">
        <v>2</v>
      </c>
      <c r="B10" s="250"/>
      <c r="C10" s="24" t="s">
        <v>141</v>
      </c>
      <c r="D10" s="21" t="s">
        <v>469</v>
      </c>
      <c r="E10" s="105">
        <v>1</v>
      </c>
      <c r="F10" s="186"/>
      <c r="G10" s="160"/>
    </row>
    <row r="11" spans="1:7" s="16" customFormat="1">
      <c r="A11" s="17">
        <v>1</v>
      </c>
      <c r="B11" s="248" t="s">
        <v>15</v>
      </c>
      <c r="C11" s="22" t="s">
        <v>5</v>
      </c>
      <c r="D11" s="18" t="s">
        <v>110</v>
      </c>
      <c r="E11" s="104">
        <v>1</v>
      </c>
      <c r="F11" s="184" t="s">
        <v>500</v>
      </c>
      <c r="G11" s="160"/>
    </row>
    <row r="12" spans="1:7" s="16" customFormat="1" ht="28">
      <c r="A12" s="19">
        <v>1</v>
      </c>
      <c r="B12" s="249"/>
      <c r="C12" s="23" t="s">
        <v>6</v>
      </c>
      <c r="D12" s="10" t="s">
        <v>9</v>
      </c>
      <c r="E12" s="103">
        <v>1</v>
      </c>
      <c r="F12" s="185" t="s">
        <v>501</v>
      </c>
      <c r="G12" s="160"/>
    </row>
    <row r="13" spans="1:7" s="16" customFormat="1" ht="28">
      <c r="A13" s="19">
        <v>1</v>
      </c>
      <c r="B13" s="249"/>
      <c r="C13" s="25" t="s">
        <v>16</v>
      </c>
      <c r="D13" s="10"/>
      <c r="E13" s="103">
        <v>1</v>
      </c>
      <c r="F13" s="185"/>
      <c r="G13" s="160"/>
    </row>
    <row r="14" spans="1:7" s="16" customFormat="1">
      <c r="A14" s="19">
        <v>1</v>
      </c>
      <c r="B14" s="249"/>
      <c r="C14" s="25" t="s">
        <v>8</v>
      </c>
      <c r="D14" s="10"/>
      <c r="E14" s="103">
        <v>0</v>
      </c>
      <c r="F14" s="185" t="s">
        <v>476</v>
      </c>
      <c r="G14" s="160"/>
    </row>
    <row r="15" spans="1:7" s="16" customFormat="1">
      <c r="A15" s="19">
        <v>1</v>
      </c>
      <c r="B15" s="249"/>
      <c r="C15" s="25" t="s">
        <v>7</v>
      </c>
      <c r="D15" s="10"/>
      <c r="E15" s="103">
        <v>1</v>
      </c>
      <c r="F15" s="185"/>
      <c r="G15" s="160"/>
    </row>
    <row r="16" spans="1:7" s="16" customFormat="1" ht="42">
      <c r="A16" s="20">
        <v>2</v>
      </c>
      <c r="B16" s="250"/>
      <c r="C16" s="24" t="s">
        <v>10</v>
      </c>
      <c r="D16" s="21"/>
      <c r="E16" s="105">
        <v>1</v>
      </c>
      <c r="F16" s="186"/>
      <c r="G16" s="160"/>
    </row>
    <row r="17" spans="2:7" s="16" customFormat="1">
      <c r="B17" s="9"/>
      <c r="C17" s="9"/>
      <c r="D17" s="9"/>
      <c r="F17" s="9"/>
      <c r="G17" s="160"/>
    </row>
    <row r="18" spans="2:7">
      <c r="E18" s="82"/>
    </row>
  </sheetData>
  <sheetProtection password="CAED" sheet="1" objects="1" scenarios="1"/>
  <mergeCells count="3">
    <mergeCell ref="B5:B7"/>
    <mergeCell ref="B8:B10"/>
    <mergeCell ref="B11:B16"/>
  </mergeCells>
  <dataValidations count="1">
    <dataValidation type="whole" operator="lessThanOrEqual" allowBlank="1" showErrorMessage="1" error="Please enter:_x000a_&quot;0&quot; if No or None, or_x000a_&quot;1&quot; if Yes_x000a_" sqref="E1:E1048576">
      <formula1>1</formula1>
    </dataValidation>
  </dataValidation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112" zoomScaleNormal="112" zoomScalePageLayoutView="112" workbookViewId="0">
      <selection activeCell="C24" sqref="C24"/>
    </sheetView>
  </sheetViews>
  <sheetFormatPr baseColWidth="10" defaultColWidth="8.83203125" defaultRowHeight="14" x14ac:dyDescent="0"/>
  <cols>
    <col min="1" max="1" width="9.1640625" style="4" customWidth="1"/>
    <col min="2" max="2" width="10.1640625" style="189" customWidth="1"/>
    <col min="3" max="3" width="56" style="5" customWidth="1"/>
    <col min="4" max="4" width="50.33203125" customWidth="1"/>
    <col min="6" max="6" width="48.83203125" style="5" customWidth="1"/>
    <col min="7" max="7" width="66.5" style="160" customWidth="1"/>
  </cols>
  <sheetData>
    <row r="1" spans="1:7" ht="15">
      <c r="A1" s="14" t="s">
        <v>112</v>
      </c>
      <c r="D1" s="5"/>
    </row>
    <row r="2" spans="1:7">
      <c r="A2" s="2" t="s">
        <v>4</v>
      </c>
      <c r="D2" s="5"/>
    </row>
    <row r="3" spans="1:7" s="118" customFormat="1" ht="39.5" customHeight="1">
      <c r="A3" s="90" t="s">
        <v>0</v>
      </c>
      <c r="B3" s="188" t="s">
        <v>142</v>
      </c>
      <c r="C3" s="91" t="s">
        <v>1</v>
      </c>
      <c r="D3" s="109" t="s">
        <v>417</v>
      </c>
      <c r="E3" s="92" t="s">
        <v>2</v>
      </c>
      <c r="F3" s="183" t="s">
        <v>3</v>
      </c>
      <c r="G3" s="162"/>
    </row>
    <row r="4" spans="1:7" ht="28">
      <c r="A4" s="29">
        <v>1</v>
      </c>
      <c r="B4" s="251" t="s">
        <v>23</v>
      </c>
      <c r="C4" s="32" t="s">
        <v>24</v>
      </c>
      <c r="D4" s="18"/>
      <c r="E4" s="104">
        <v>1</v>
      </c>
      <c r="F4" s="184"/>
    </row>
    <row r="5" spans="1:7" ht="28">
      <c r="A5" s="30">
        <v>1</v>
      </c>
      <c r="B5" s="252"/>
      <c r="C5" s="33" t="s">
        <v>25</v>
      </c>
      <c r="D5" s="10"/>
      <c r="E5" s="103">
        <v>1</v>
      </c>
      <c r="F5" s="185"/>
    </row>
    <row r="6" spans="1:7" ht="28">
      <c r="A6" s="30">
        <v>1</v>
      </c>
      <c r="B6" s="252"/>
      <c r="C6" s="33" t="s">
        <v>20</v>
      </c>
      <c r="D6" s="10"/>
      <c r="E6" s="103">
        <v>1</v>
      </c>
      <c r="F6" s="185"/>
    </row>
    <row r="7" spans="1:7" ht="28">
      <c r="A7" s="30">
        <v>2</v>
      </c>
      <c r="B7" s="252"/>
      <c r="C7" s="34" t="s">
        <v>17</v>
      </c>
      <c r="D7" s="10" t="s">
        <v>418</v>
      </c>
      <c r="E7" s="103">
        <v>0</v>
      </c>
      <c r="F7" s="185"/>
    </row>
    <row r="8" spans="1:7" ht="42">
      <c r="A8" s="30">
        <v>2</v>
      </c>
      <c r="B8" s="252"/>
      <c r="C8" s="34" t="s">
        <v>120</v>
      </c>
      <c r="D8" s="37" t="s">
        <v>123</v>
      </c>
      <c r="E8" s="103">
        <v>0</v>
      </c>
      <c r="F8" s="185"/>
    </row>
    <row r="9" spans="1:7">
      <c r="A9" s="30">
        <v>3</v>
      </c>
      <c r="B9" s="252"/>
      <c r="C9" s="33" t="s">
        <v>22</v>
      </c>
      <c r="D9" s="10"/>
      <c r="E9" s="103">
        <v>0</v>
      </c>
      <c r="F9" s="185"/>
    </row>
    <row r="10" spans="1:7">
      <c r="A10" s="31">
        <v>5</v>
      </c>
      <c r="B10" s="253"/>
      <c r="C10" s="35" t="s">
        <v>19</v>
      </c>
      <c r="D10" s="21"/>
      <c r="E10" s="105">
        <v>0</v>
      </c>
      <c r="F10" s="186"/>
    </row>
    <row r="11" spans="1:7" ht="42">
      <c r="A11" s="29">
        <v>2</v>
      </c>
      <c r="B11" s="251" t="s">
        <v>26</v>
      </c>
      <c r="C11" s="22" t="s">
        <v>21</v>
      </c>
      <c r="D11" s="18"/>
      <c r="E11" s="104">
        <v>0</v>
      </c>
      <c r="F11" s="184"/>
    </row>
    <row r="12" spans="1:7" ht="28">
      <c r="A12" s="31">
        <v>3</v>
      </c>
      <c r="B12" s="253"/>
      <c r="C12" s="24" t="s">
        <v>18</v>
      </c>
      <c r="D12" s="21"/>
      <c r="E12" s="105">
        <v>0</v>
      </c>
      <c r="F12" s="186"/>
    </row>
    <row r="13" spans="1:7">
      <c r="D13" s="81"/>
      <c r="E13" s="83"/>
      <c r="F13" s="187"/>
    </row>
    <row r="14" spans="1:7">
      <c r="C14" s="3"/>
      <c r="D14" s="76"/>
      <c r="E14" s="82"/>
      <c r="F14" s="169"/>
    </row>
    <row r="15" spans="1:7">
      <c r="C15" s="3"/>
      <c r="D15" s="76"/>
      <c r="E15" s="82"/>
      <c r="F15" s="169"/>
    </row>
    <row r="16" spans="1:7">
      <c r="C16" s="3"/>
    </row>
  </sheetData>
  <sheetProtection password="CAED" sheet="1" objects="1" scenarios="1"/>
  <mergeCells count="2">
    <mergeCell ref="B4:B10"/>
    <mergeCell ref="B11:B12"/>
  </mergeCells>
  <dataValidations count="1">
    <dataValidation type="whole" operator="lessThanOrEqual" allowBlank="1" showErrorMessage="1" error="Please enter:_x000a_&quot;0&quot; if No or None, or_x000a_&quot;1&quot; if Yes" sqref="E1:E1048576">
      <formula1>1</formula1>
    </dataValidation>
  </dataValidation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zoomScale="112" zoomScaleNormal="112" zoomScalePageLayoutView="112" workbookViewId="0">
      <selection activeCell="C24" sqref="C24"/>
    </sheetView>
  </sheetViews>
  <sheetFormatPr baseColWidth="10" defaultColWidth="8.83203125" defaultRowHeight="14" x14ac:dyDescent="0"/>
  <cols>
    <col min="1" max="1" width="9.1640625" style="4" customWidth="1"/>
    <col min="2" max="2" width="14.83203125" style="5" customWidth="1"/>
    <col min="3" max="3" width="56" style="5" customWidth="1"/>
    <col min="4" max="4" width="50.33203125" customWidth="1"/>
    <col min="6" max="6" width="44.83203125" style="5" customWidth="1"/>
    <col min="7" max="7" width="56.1640625" style="160" customWidth="1"/>
  </cols>
  <sheetData>
    <row r="1" spans="1:7" ht="15">
      <c r="A1" s="14" t="s">
        <v>113</v>
      </c>
      <c r="D1" s="5"/>
    </row>
    <row r="2" spans="1:7">
      <c r="A2" s="2" t="s">
        <v>4</v>
      </c>
      <c r="D2" s="5"/>
    </row>
    <row r="3" spans="1:7" s="118" customFormat="1" ht="28">
      <c r="A3" s="90" t="s">
        <v>0</v>
      </c>
      <c r="B3" s="95" t="s">
        <v>142</v>
      </c>
      <c r="C3" s="91" t="s">
        <v>1</v>
      </c>
      <c r="D3" s="109" t="s">
        <v>417</v>
      </c>
      <c r="E3" s="92" t="s">
        <v>2</v>
      </c>
      <c r="F3" s="183" t="s">
        <v>3</v>
      </c>
      <c r="G3" s="162"/>
    </row>
    <row r="4" spans="1:7" s="16" customFormat="1" ht="28">
      <c r="A4" s="27">
        <v>0</v>
      </c>
      <c r="B4" s="248" t="s">
        <v>37</v>
      </c>
      <c r="C4" s="39" t="s">
        <v>36</v>
      </c>
      <c r="D4" s="37" t="s">
        <v>121</v>
      </c>
      <c r="E4" s="103">
        <v>1</v>
      </c>
      <c r="F4" s="166" t="s">
        <v>471</v>
      </c>
      <c r="G4" s="160"/>
    </row>
    <row r="5" spans="1:7" s="16" customFormat="1" ht="42">
      <c r="A5" s="27">
        <v>0</v>
      </c>
      <c r="B5" s="249"/>
      <c r="C5" s="39" t="s">
        <v>27</v>
      </c>
      <c r="D5" s="37" t="s">
        <v>435</v>
      </c>
      <c r="E5" s="103">
        <v>1</v>
      </c>
      <c r="F5" s="166" t="s">
        <v>470</v>
      </c>
      <c r="G5" s="160"/>
    </row>
    <row r="6" spans="1:7" s="16" customFormat="1" ht="28">
      <c r="A6" s="26">
        <v>1</v>
      </c>
      <c r="B6" s="248" t="s">
        <v>38</v>
      </c>
      <c r="C6" s="40" t="s">
        <v>28</v>
      </c>
      <c r="D6" s="26" t="s">
        <v>436</v>
      </c>
      <c r="E6" s="104">
        <v>1</v>
      </c>
      <c r="F6" s="190" t="s">
        <v>478</v>
      </c>
      <c r="G6" s="160"/>
    </row>
    <row r="7" spans="1:7" s="16" customFormat="1" ht="28">
      <c r="A7" s="27">
        <v>2</v>
      </c>
      <c r="B7" s="249"/>
      <c r="C7" s="25" t="s">
        <v>30</v>
      </c>
      <c r="D7" s="27" t="s">
        <v>436</v>
      </c>
      <c r="E7" s="103">
        <v>1</v>
      </c>
      <c r="F7" s="166" t="s">
        <v>479</v>
      </c>
      <c r="G7" s="160"/>
    </row>
    <row r="8" spans="1:7" s="16" customFormat="1" ht="28">
      <c r="A8" s="27">
        <v>3</v>
      </c>
      <c r="B8" s="249"/>
      <c r="C8" s="39" t="s">
        <v>39</v>
      </c>
      <c r="D8" s="27" t="s">
        <v>436</v>
      </c>
      <c r="E8" s="103">
        <v>0</v>
      </c>
      <c r="F8" s="166"/>
      <c r="G8" s="160"/>
    </row>
    <row r="9" spans="1:7" s="16" customFormat="1" ht="28">
      <c r="A9" s="27">
        <v>3</v>
      </c>
      <c r="B9" s="249"/>
      <c r="C9" s="39" t="s">
        <v>40</v>
      </c>
      <c r="D9" s="27" t="s">
        <v>436</v>
      </c>
      <c r="E9" s="103">
        <v>0</v>
      </c>
      <c r="F9" s="166"/>
      <c r="G9" s="160"/>
    </row>
    <row r="10" spans="1:7" s="16" customFormat="1" ht="28">
      <c r="A10" s="28">
        <v>3</v>
      </c>
      <c r="B10" s="250"/>
      <c r="C10" s="41" t="s">
        <v>437</v>
      </c>
      <c r="D10" s="38" t="s">
        <v>122</v>
      </c>
      <c r="E10" s="105">
        <v>1</v>
      </c>
      <c r="F10" s="191" t="s">
        <v>480</v>
      </c>
      <c r="G10" s="160"/>
    </row>
    <row r="11" spans="1:7" s="16" customFormat="1" ht="28">
      <c r="A11" s="27">
        <v>2</v>
      </c>
      <c r="B11" s="249" t="s">
        <v>41</v>
      </c>
      <c r="C11" s="23" t="s">
        <v>29</v>
      </c>
      <c r="D11" s="27"/>
      <c r="E11" s="103">
        <v>0</v>
      </c>
      <c r="F11" s="166"/>
      <c r="G11" s="160"/>
    </row>
    <row r="12" spans="1:7" s="16" customFormat="1" ht="28">
      <c r="A12" s="155">
        <v>2</v>
      </c>
      <c r="B12" s="249"/>
      <c r="C12" s="23" t="s">
        <v>485</v>
      </c>
      <c r="D12" s="157" t="s">
        <v>438</v>
      </c>
      <c r="E12" s="103">
        <v>1</v>
      </c>
      <c r="F12" s="166" t="s">
        <v>481</v>
      </c>
      <c r="G12" s="160"/>
    </row>
    <row r="13" spans="1:7" s="16" customFormat="1" ht="28">
      <c r="A13" s="156">
        <v>2</v>
      </c>
      <c r="B13" s="250"/>
      <c r="C13" s="24" t="s">
        <v>486</v>
      </c>
      <c r="D13" s="38" t="s">
        <v>438</v>
      </c>
      <c r="E13" s="105">
        <v>1</v>
      </c>
      <c r="F13" s="191" t="s">
        <v>482</v>
      </c>
      <c r="G13" s="160"/>
    </row>
    <row r="14" spans="1:7">
      <c r="C14" s="3"/>
    </row>
    <row r="15" spans="1:7">
      <c r="C15" s="3"/>
    </row>
  </sheetData>
  <sheetProtection password="CAED" sheet="1" objects="1" scenarios="1"/>
  <mergeCells count="3">
    <mergeCell ref="B4:B5"/>
    <mergeCell ref="B6:B10"/>
    <mergeCell ref="B11:B13"/>
  </mergeCells>
  <dataValidations count="1">
    <dataValidation type="whole" operator="lessThanOrEqual" allowBlank="1" showErrorMessage="1" error="Please enter:_x000a_&quot;0&quot; if No or None, or_x000a_&quot;1&quot; if Yes" sqref="E1:E1048576">
      <formula1>1</formula1>
    </dataValidation>
  </dataValidation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zoomScale="112" zoomScaleNormal="112" zoomScalePageLayoutView="112" workbookViewId="0">
      <selection activeCell="C24" sqref="C24"/>
    </sheetView>
  </sheetViews>
  <sheetFormatPr baseColWidth="10" defaultColWidth="8.83203125" defaultRowHeight="14" x14ac:dyDescent="0"/>
  <cols>
    <col min="1" max="1" width="9.1640625" style="4" customWidth="1"/>
    <col min="2" max="2" width="14.83203125" customWidth="1"/>
    <col min="3" max="3" width="56" style="5" customWidth="1"/>
    <col min="4" max="4" width="50.33203125" customWidth="1"/>
    <col min="6" max="6" width="44.83203125" style="5" customWidth="1"/>
    <col min="7" max="7" width="53.33203125" style="160" customWidth="1"/>
  </cols>
  <sheetData>
    <row r="1" spans="1:7" ht="15">
      <c r="A1" s="14" t="s">
        <v>114</v>
      </c>
      <c r="D1" s="5"/>
    </row>
    <row r="2" spans="1:7">
      <c r="A2" s="2" t="s">
        <v>4</v>
      </c>
      <c r="D2" s="5"/>
    </row>
    <row r="3" spans="1:7" s="118" customFormat="1" ht="28">
      <c r="A3" s="90" t="s">
        <v>0</v>
      </c>
      <c r="B3" s="94" t="s">
        <v>142</v>
      </c>
      <c r="C3" s="91" t="s">
        <v>1</v>
      </c>
      <c r="D3" s="109" t="s">
        <v>417</v>
      </c>
      <c r="E3" s="92" t="s">
        <v>2</v>
      </c>
      <c r="F3" s="183" t="s">
        <v>3</v>
      </c>
      <c r="G3" s="162"/>
    </row>
    <row r="4" spans="1:7" ht="28">
      <c r="A4" s="26">
        <v>0</v>
      </c>
      <c r="B4" s="254" t="s">
        <v>54</v>
      </c>
      <c r="C4" s="42" t="s">
        <v>44</v>
      </c>
      <c r="D4" s="26"/>
      <c r="E4" s="104">
        <v>0</v>
      </c>
      <c r="F4" s="167"/>
    </row>
    <row r="5" spans="1:7" ht="42">
      <c r="A5" s="28">
        <v>2</v>
      </c>
      <c r="B5" s="255"/>
      <c r="C5" s="45" t="s">
        <v>119</v>
      </c>
      <c r="D5" s="38" t="s">
        <v>123</v>
      </c>
      <c r="E5" s="105">
        <v>0</v>
      </c>
      <c r="F5" s="192"/>
    </row>
    <row r="6" spans="1:7" ht="28">
      <c r="A6" s="43">
        <v>1</v>
      </c>
      <c r="B6" s="256" t="s">
        <v>56</v>
      </c>
      <c r="C6" s="36" t="s">
        <v>46</v>
      </c>
      <c r="D6" s="27"/>
      <c r="E6" s="103">
        <v>1</v>
      </c>
      <c r="F6" s="168" t="s">
        <v>483</v>
      </c>
    </row>
    <row r="7" spans="1:7">
      <c r="A7" s="43">
        <v>1</v>
      </c>
      <c r="B7" s="256"/>
      <c r="C7" s="36" t="s">
        <v>59</v>
      </c>
      <c r="D7" s="27" t="s">
        <v>124</v>
      </c>
      <c r="E7" s="103">
        <v>1</v>
      </c>
      <c r="F7" s="168"/>
    </row>
    <row r="8" spans="1:7" ht="28">
      <c r="A8" s="43">
        <v>2</v>
      </c>
      <c r="B8" s="256"/>
      <c r="C8" s="36" t="s">
        <v>48</v>
      </c>
      <c r="D8" s="27" t="s">
        <v>124</v>
      </c>
      <c r="E8" s="103">
        <v>0</v>
      </c>
      <c r="F8" s="168"/>
    </row>
    <row r="9" spans="1:7" ht="28">
      <c r="A9" s="43">
        <v>3</v>
      </c>
      <c r="B9" s="256"/>
      <c r="C9" s="36" t="s">
        <v>50</v>
      </c>
      <c r="D9" s="27" t="s">
        <v>124</v>
      </c>
      <c r="E9" s="103">
        <v>0</v>
      </c>
      <c r="F9" s="168"/>
    </row>
    <row r="10" spans="1:7">
      <c r="A10" s="26">
        <v>1</v>
      </c>
      <c r="B10" s="254" t="s">
        <v>62</v>
      </c>
      <c r="C10" s="42" t="s">
        <v>57</v>
      </c>
      <c r="D10" s="26"/>
      <c r="E10" s="104">
        <v>1</v>
      </c>
      <c r="F10" s="167"/>
    </row>
    <row r="11" spans="1:7" ht="28">
      <c r="A11" s="27">
        <v>1</v>
      </c>
      <c r="B11" s="256"/>
      <c r="C11" s="37" t="s">
        <v>58</v>
      </c>
      <c r="D11" s="27"/>
      <c r="E11" s="103">
        <v>1</v>
      </c>
      <c r="F11" s="168"/>
    </row>
    <row r="12" spans="1:7" ht="28">
      <c r="A12" s="27">
        <v>1</v>
      </c>
      <c r="B12" s="256"/>
      <c r="C12" s="37" t="s">
        <v>487</v>
      </c>
      <c r="D12" s="37" t="s">
        <v>125</v>
      </c>
      <c r="E12" s="103">
        <v>1</v>
      </c>
      <c r="F12" s="168"/>
    </row>
    <row r="13" spans="1:7" ht="28">
      <c r="A13" s="27">
        <v>1</v>
      </c>
      <c r="B13" s="256"/>
      <c r="C13" s="37" t="s">
        <v>61</v>
      </c>
      <c r="D13" s="27" t="s">
        <v>126</v>
      </c>
      <c r="E13" s="103">
        <v>1</v>
      </c>
      <c r="F13" s="168"/>
    </row>
    <row r="14" spans="1:7">
      <c r="A14" s="43">
        <v>1</v>
      </c>
      <c r="B14" s="256"/>
      <c r="C14" s="36" t="s">
        <v>60</v>
      </c>
      <c r="D14" s="44"/>
      <c r="E14" s="103">
        <v>0</v>
      </c>
      <c r="F14" s="168"/>
    </row>
    <row r="15" spans="1:7" ht="28">
      <c r="A15" s="43">
        <v>2</v>
      </c>
      <c r="B15" s="256"/>
      <c r="C15" s="36" t="s">
        <v>49</v>
      </c>
      <c r="D15" s="37" t="s">
        <v>127</v>
      </c>
      <c r="E15" s="103">
        <v>1</v>
      </c>
      <c r="F15" s="168"/>
    </row>
    <row r="16" spans="1:7" ht="28">
      <c r="A16" s="43">
        <v>3</v>
      </c>
      <c r="B16" s="256"/>
      <c r="C16" s="154" t="s">
        <v>439</v>
      </c>
      <c r="D16" s="27"/>
      <c r="E16" s="103">
        <v>0</v>
      </c>
      <c r="F16" s="168"/>
    </row>
    <row r="17" spans="1:6" ht="28">
      <c r="A17" s="43">
        <v>3</v>
      </c>
      <c r="B17" s="256"/>
      <c r="C17" s="37" t="s">
        <v>43</v>
      </c>
      <c r="D17" s="27" t="s">
        <v>126</v>
      </c>
      <c r="E17" s="103">
        <v>0</v>
      </c>
      <c r="F17" s="168"/>
    </row>
    <row r="18" spans="1:6" ht="28">
      <c r="A18" s="43">
        <v>4</v>
      </c>
      <c r="B18" s="256"/>
      <c r="C18" s="37" t="s">
        <v>51</v>
      </c>
      <c r="D18" s="27" t="s">
        <v>126</v>
      </c>
      <c r="E18" s="103">
        <v>0</v>
      </c>
      <c r="F18" s="168"/>
    </row>
    <row r="19" spans="1:6" ht="28">
      <c r="A19" s="46">
        <v>5</v>
      </c>
      <c r="B19" s="255"/>
      <c r="C19" s="38" t="s">
        <v>440</v>
      </c>
      <c r="D19" s="28" t="s">
        <v>126</v>
      </c>
      <c r="E19" s="105">
        <v>0</v>
      </c>
      <c r="F19" s="192"/>
    </row>
    <row r="20" spans="1:6" ht="28">
      <c r="A20" s="27">
        <v>1</v>
      </c>
      <c r="B20" s="256" t="s">
        <v>63</v>
      </c>
      <c r="C20" s="37" t="s">
        <v>45</v>
      </c>
      <c r="D20" s="27" t="s">
        <v>128</v>
      </c>
      <c r="E20" s="103">
        <v>1</v>
      </c>
      <c r="F20" s="168"/>
    </row>
    <row r="21" spans="1:6">
      <c r="A21" s="28">
        <v>2</v>
      </c>
      <c r="B21" s="255"/>
      <c r="C21" s="45" t="s">
        <v>47</v>
      </c>
      <c r="D21" s="28"/>
      <c r="E21" s="105">
        <v>0</v>
      </c>
      <c r="F21" s="192"/>
    </row>
  </sheetData>
  <sheetProtection password="CAED" sheet="1" objects="1" scenarios="1"/>
  <mergeCells count="4">
    <mergeCell ref="B4:B5"/>
    <mergeCell ref="B6:B9"/>
    <mergeCell ref="B10:B19"/>
    <mergeCell ref="B20:B21"/>
  </mergeCells>
  <dataValidations count="1">
    <dataValidation type="whole" operator="lessThanOrEqual" allowBlank="1" showErrorMessage="1" error="Please enter:_x000a_&quot;0&quot; if No or None, or_x000a_&quot;1&quot; if Yes" sqref="E1:E1048576">
      <formula1>1</formula1>
    </dataValidation>
  </dataValidation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="112" zoomScaleNormal="112" zoomScalePageLayoutView="112" workbookViewId="0">
      <selection activeCell="C24" sqref="C24"/>
    </sheetView>
  </sheetViews>
  <sheetFormatPr baseColWidth="10" defaultColWidth="8.83203125" defaultRowHeight="14" x14ac:dyDescent="0"/>
  <cols>
    <col min="1" max="1" width="9.1640625" style="4" customWidth="1"/>
    <col min="2" max="2" width="14.83203125" style="72" customWidth="1"/>
    <col min="3" max="3" width="56" style="5" customWidth="1"/>
    <col min="4" max="4" width="50.33203125" customWidth="1"/>
    <col min="6" max="6" width="44.83203125" style="5" customWidth="1"/>
    <col min="7" max="7" width="56.83203125" style="160" customWidth="1"/>
  </cols>
  <sheetData>
    <row r="1" spans="1:7" ht="15">
      <c r="A1" s="14" t="s">
        <v>115</v>
      </c>
      <c r="D1" s="5"/>
    </row>
    <row r="2" spans="1:7">
      <c r="A2" s="2" t="s">
        <v>4</v>
      </c>
      <c r="D2" s="5"/>
    </row>
    <row r="3" spans="1:7" s="118" customFormat="1" ht="28">
      <c r="A3" s="90" t="s">
        <v>0</v>
      </c>
      <c r="B3" s="97" t="s">
        <v>142</v>
      </c>
      <c r="C3" s="96" t="s">
        <v>1</v>
      </c>
      <c r="D3" s="109" t="s">
        <v>417</v>
      </c>
      <c r="E3" s="92" t="s">
        <v>2</v>
      </c>
      <c r="F3" s="183" t="s">
        <v>3</v>
      </c>
      <c r="G3" s="162"/>
    </row>
    <row r="4" spans="1:7" s="8" customFormat="1" ht="28">
      <c r="A4" s="64">
        <v>1</v>
      </c>
      <c r="B4" s="257" t="s">
        <v>86</v>
      </c>
      <c r="C4" s="39" t="s">
        <v>66</v>
      </c>
      <c r="D4" s="125"/>
      <c r="E4" s="106">
        <v>1</v>
      </c>
      <c r="F4" s="226"/>
      <c r="G4" s="163"/>
    </row>
    <row r="5" spans="1:7" s="8" customFormat="1" ht="28">
      <c r="A5" s="64">
        <v>1</v>
      </c>
      <c r="B5" s="258"/>
      <c r="C5" s="25" t="s">
        <v>67</v>
      </c>
      <c r="D5" s="129" t="s">
        <v>442</v>
      </c>
      <c r="E5" s="106">
        <v>1</v>
      </c>
      <c r="F5" s="226"/>
      <c r="G5" s="163"/>
    </row>
    <row r="6" spans="1:7" s="8" customFormat="1" ht="28">
      <c r="A6" s="64">
        <v>2</v>
      </c>
      <c r="B6" s="258"/>
      <c r="C6" s="25" t="s">
        <v>84</v>
      </c>
      <c r="D6" s="125"/>
      <c r="E6" s="106">
        <v>0</v>
      </c>
      <c r="F6" s="226"/>
      <c r="G6" s="163"/>
    </row>
    <row r="7" spans="1:7" s="8" customFormat="1">
      <c r="A7" s="64">
        <v>2</v>
      </c>
      <c r="B7" s="258"/>
      <c r="C7" s="70" t="s">
        <v>441</v>
      </c>
      <c r="D7" s="125"/>
      <c r="E7" s="106">
        <v>0</v>
      </c>
      <c r="F7" s="226" t="s">
        <v>488</v>
      </c>
      <c r="G7" s="163"/>
    </row>
    <row r="8" spans="1:7" s="8" customFormat="1" ht="42">
      <c r="A8" s="65">
        <v>3</v>
      </c>
      <c r="B8" s="258"/>
      <c r="C8" s="39" t="s">
        <v>428</v>
      </c>
      <c r="D8" s="125"/>
      <c r="E8" s="106">
        <v>0</v>
      </c>
      <c r="F8" s="226"/>
      <c r="G8" s="163"/>
    </row>
    <row r="9" spans="1:7" s="8" customFormat="1" ht="28">
      <c r="A9" s="65">
        <v>3</v>
      </c>
      <c r="B9" s="258"/>
      <c r="C9" s="39" t="s">
        <v>77</v>
      </c>
      <c r="D9" s="125"/>
      <c r="E9" s="106">
        <v>0</v>
      </c>
      <c r="F9" s="226"/>
      <c r="G9" s="163"/>
    </row>
    <row r="10" spans="1:7" s="8" customFormat="1" ht="28">
      <c r="A10" s="65">
        <v>5</v>
      </c>
      <c r="B10" s="258"/>
      <c r="C10" s="70" t="s">
        <v>82</v>
      </c>
      <c r="D10" s="125"/>
      <c r="E10" s="106">
        <v>0</v>
      </c>
      <c r="F10" s="226"/>
      <c r="G10" s="163"/>
    </row>
    <row r="11" spans="1:7" s="8" customFormat="1">
      <c r="A11" s="68">
        <v>1</v>
      </c>
      <c r="B11" s="74" t="s">
        <v>85</v>
      </c>
      <c r="C11" s="75" t="s">
        <v>68</v>
      </c>
      <c r="D11" s="126"/>
      <c r="E11" s="107">
        <v>0</v>
      </c>
      <c r="F11" s="227" t="s">
        <v>489</v>
      </c>
      <c r="G11" s="163"/>
    </row>
    <row r="12" spans="1:7" s="8" customFormat="1" ht="28">
      <c r="A12" s="64">
        <v>2</v>
      </c>
      <c r="B12" s="259"/>
      <c r="C12" s="71" t="s">
        <v>70</v>
      </c>
      <c r="D12" s="125"/>
      <c r="E12" s="106">
        <v>1</v>
      </c>
      <c r="F12" s="226" t="s">
        <v>490</v>
      </c>
      <c r="G12" s="163"/>
    </row>
    <row r="13" spans="1:7" s="8" customFormat="1" ht="28">
      <c r="A13" s="64">
        <v>2</v>
      </c>
      <c r="B13" s="259"/>
      <c r="C13" s="71" t="s">
        <v>71</v>
      </c>
      <c r="D13" s="125"/>
      <c r="E13" s="106">
        <v>0</v>
      </c>
      <c r="F13" s="226"/>
      <c r="G13" s="163"/>
    </row>
    <row r="14" spans="1:7" s="8" customFormat="1" ht="28">
      <c r="A14" s="64">
        <v>3</v>
      </c>
      <c r="B14" s="259"/>
      <c r="C14" s="23" t="s">
        <v>118</v>
      </c>
      <c r="D14" s="125" t="s">
        <v>129</v>
      </c>
      <c r="E14" s="106">
        <v>0</v>
      </c>
      <c r="F14" s="226"/>
      <c r="G14" s="163"/>
    </row>
    <row r="15" spans="1:7" s="8" customFormat="1" ht="28">
      <c r="A15" s="64">
        <v>4</v>
      </c>
      <c r="B15" s="259"/>
      <c r="C15" s="23" t="s">
        <v>76</v>
      </c>
      <c r="D15" s="125"/>
      <c r="E15" s="106">
        <v>0</v>
      </c>
      <c r="F15" s="226"/>
      <c r="G15" s="163"/>
    </row>
    <row r="16" spans="1:7" s="8" customFormat="1" ht="28">
      <c r="A16" s="69">
        <v>5</v>
      </c>
      <c r="B16" s="260"/>
      <c r="C16" s="24" t="s">
        <v>80</v>
      </c>
      <c r="D16" s="127"/>
      <c r="E16" s="108">
        <v>0</v>
      </c>
      <c r="F16" s="228"/>
      <c r="G16" s="163"/>
    </row>
    <row r="17" spans="1:7" s="8" customFormat="1" ht="28">
      <c r="A17" s="65">
        <v>1</v>
      </c>
      <c r="B17" s="261" t="s">
        <v>89</v>
      </c>
      <c r="C17" s="23" t="s">
        <v>64</v>
      </c>
      <c r="D17" s="125"/>
      <c r="E17" s="106">
        <v>1</v>
      </c>
      <c r="F17" s="226"/>
      <c r="G17" s="163"/>
    </row>
    <row r="18" spans="1:7" s="8" customFormat="1" ht="28">
      <c r="A18" s="65">
        <v>1</v>
      </c>
      <c r="B18" s="262"/>
      <c r="C18" s="23" t="s">
        <v>65</v>
      </c>
      <c r="D18" s="125"/>
      <c r="E18" s="106">
        <v>0</v>
      </c>
      <c r="F18" s="226"/>
      <c r="G18" s="163"/>
    </row>
    <row r="19" spans="1:7" s="8" customFormat="1" ht="28">
      <c r="A19" s="65">
        <v>2</v>
      </c>
      <c r="B19" s="262"/>
      <c r="C19" s="71" t="s">
        <v>72</v>
      </c>
      <c r="D19" s="125" t="s">
        <v>424</v>
      </c>
      <c r="E19" s="106">
        <v>0</v>
      </c>
      <c r="F19" s="226"/>
      <c r="G19" s="163"/>
    </row>
    <row r="20" spans="1:7" s="8" customFormat="1">
      <c r="A20" s="66">
        <v>2</v>
      </c>
      <c r="B20" s="262"/>
      <c r="C20" s="71" t="s">
        <v>73</v>
      </c>
      <c r="D20" s="125"/>
      <c r="E20" s="106">
        <v>1</v>
      </c>
      <c r="F20" s="226"/>
      <c r="G20" s="163"/>
    </row>
    <row r="21" spans="1:7" s="8" customFormat="1">
      <c r="A21" s="66">
        <v>3</v>
      </c>
      <c r="B21" s="262"/>
      <c r="C21" s="23" t="s">
        <v>74</v>
      </c>
      <c r="D21" s="125" t="s">
        <v>425</v>
      </c>
      <c r="E21" s="106">
        <v>0</v>
      </c>
      <c r="F21" s="226"/>
      <c r="G21" s="163"/>
    </row>
    <row r="22" spans="1:7" s="8" customFormat="1" ht="28">
      <c r="A22" s="64">
        <v>3</v>
      </c>
      <c r="B22" s="262"/>
      <c r="C22" s="39" t="s">
        <v>88</v>
      </c>
      <c r="D22" s="125" t="s">
        <v>426</v>
      </c>
      <c r="E22" s="106">
        <v>0</v>
      </c>
      <c r="F22" s="226"/>
      <c r="G22" s="163"/>
    </row>
    <row r="23" spans="1:7" s="8" customFormat="1" ht="28">
      <c r="A23" s="64">
        <v>3</v>
      </c>
      <c r="B23" s="262"/>
      <c r="C23" s="39" t="s">
        <v>87</v>
      </c>
      <c r="D23" s="129" t="s">
        <v>427</v>
      </c>
      <c r="E23" s="106">
        <v>0</v>
      </c>
      <c r="F23" s="226" t="s">
        <v>491</v>
      </c>
      <c r="G23" s="163"/>
    </row>
    <row r="24" spans="1:7" s="8" customFormat="1">
      <c r="A24" s="64">
        <v>4</v>
      </c>
      <c r="B24" s="262"/>
      <c r="C24" s="23" t="s">
        <v>83</v>
      </c>
      <c r="D24" s="125"/>
      <c r="E24" s="106">
        <v>0</v>
      </c>
      <c r="F24" s="226"/>
      <c r="G24" s="163"/>
    </row>
    <row r="25" spans="1:7" s="8" customFormat="1" ht="42">
      <c r="A25" s="64">
        <v>4</v>
      </c>
      <c r="B25" s="262"/>
      <c r="C25" s="23" t="s">
        <v>75</v>
      </c>
      <c r="D25" s="125"/>
      <c r="E25" s="106">
        <v>0</v>
      </c>
      <c r="F25" s="226"/>
      <c r="G25" s="163"/>
    </row>
    <row r="26" spans="1:7" s="8" customFormat="1">
      <c r="A26" s="64">
        <v>4</v>
      </c>
      <c r="B26" s="262"/>
      <c r="C26" s="23" t="s">
        <v>78</v>
      </c>
      <c r="D26" s="125"/>
      <c r="E26" s="106">
        <v>0</v>
      </c>
      <c r="F26" s="226"/>
      <c r="G26" s="163"/>
    </row>
    <row r="27" spans="1:7" s="8" customFormat="1" ht="28">
      <c r="A27" s="64">
        <v>4</v>
      </c>
      <c r="B27" s="262"/>
      <c r="C27" s="23" t="s">
        <v>79</v>
      </c>
      <c r="D27" s="125"/>
      <c r="E27" s="106">
        <v>0</v>
      </c>
      <c r="F27" s="226"/>
      <c r="G27" s="163"/>
    </row>
    <row r="28" spans="1:7" s="8" customFormat="1">
      <c r="A28" s="67">
        <v>5</v>
      </c>
      <c r="B28" s="263"/>
      <c r="C28" s="24" t="s">
        <v>81</v>
      </c>
      <c r="D28" s="128"/>
      <c r="E28" s="108">
        <v>0</v>
      </c>
      <c r="F28" s="228"/>
      <c r="G28" s="163"/>
    </row>
    <row r="29" spans="1:7" s="8" customFormat="1">
      <c r="A29" s="13"/>
      <c r="B29" s="73"/>
      <c r="C29" s="12"/>
      <c r="F29" s="12"/>
      <c r="G29" s="163"/>
    </row>
    <row r="30" spans="1:7" s="8" customFormat="1">
      <c r="A30" s="13"/>
      <c r="B30" s="73"/>
      <c r="C30" s="12"/>
      <c r="F30" s="12"/>
      <c r="G30" s="163"/>
    </row>
    <row r="31" spans="1:7" s="8" customFormat="1">
      <c r="A31" s="13"/>
      <c r="B31" s="73"/>
      <c r="C31" s="12"/>
      <c r="F31" s="12"/>
      <c r="G31" s="163"/>
    </row>
    <row r="32" spans="1:7" s="8" customFormat="1">
      <c r="A32" s="13"/>
      <c r="B32" s="73"/>
      <c r="C32" s="12"/>
      <c r="F32" s="12"/>
      <c r="G32" s="163"/>
    </row>
  </sheetData>
  <sheetProtection password="CAED" sheet="1" objects="1" scenarios="1"/>
  <mergeCells count="3">
    <mergeCell ref="B4:B10"/>
    <mergeCell ref="B12:B16"/>
    <mergeCell ref="B17:B28"/>
  </mergeCells>
  <dataValidations count="1">
    <dataValidation type="whole" operator="lessThanOrEqual" allowBlank="1" showErrorMessage="1" error="Please enter:_x000a_&quot;0&quot; if No or None, or_x000a_&quot;1&quot; if Yes" sqref="E1:E1048576">
      <formula1>1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="112" zoomScaleNormal="112" zoomScalePageLayoutView="112" workbookViewId="0">
      <selection activeCell="C24" sqref="C24"/>
    </sheetView>
  </sheetViews>
  <sheetFormatPr baseColWidth="10" defaultColWidth="8.83203125" defaultRowHeight="14" x14ac:dyDescent="0"/>
  <cols>
    <col min="1" max="1" width="9.1640625" style="4" customWidth="1"/>
    <col min="2" max="2" width="2.6640625" customWidth="1"/>
    <col min="3" max="3" width="56" style="5" customWidth="1"/>
    <col min="4" max="4" width="50.33203125" customWidth="1"/>
    <col min="6" max="6" width="54.33203125" style="5" customWidth="1"/>
    <col min="7" max="7" width="53.1640625" style="160" customWidth="1"/>
  </cols>
  <sheetData>
    <row r="1" spans="1:7" ht="15">
      <c r="A1" s="14" t="s">
        <v>116</v>
      </c>
      <c r="D1" s="5"/>
    </row>
    <row r="2" spans="1:7">
      <c r="A2" s="2" t="s">
        <v>4</v>
      </c>
      <c r="D2" s="5"/>
    </row>
    <row r="4" spans="1:7" s="118" customFormat="1" ht="28">
      <c r="A4" s="90" t="s">
        <v>0</v>
      </c>
      <c r="B4" s="94" t="s">
        <v>142</v>
      </c>
      <c r="C4" s="93" t="s">
        <v>1</v>
      </c>
      <c r="D4" s="109" t="s">
        <v>417</v>
      </c>
      <c r="E4" s="92" t="s">
        <v>2</v>
      </c>
      <c r="F4" s="183" t="s">
        <v>3</v>
      </c>
      <c r="G4" s="162"/>
    </row>
    <row r="5" spans="1:7" ht="28">
      <c r="A5" s="30">
        <v>1</v>
      </c>
      <c r="B5" s="78"/>
      <c r="C5" s="23" t="s">
        <v>90</v>
      </c>
      <c r="D5" s="76" t="s">
        <v>130</v>
      </c>
      <c r="E5" s="103">
        <v>1</v>
      </c>
      <c r="F5" s="193"/>
    </row>
    <row r="6" spans="1:7" ht="28">
      <c r="A6" s="30">
        <v>3</v>
      </c>
      <c r="B6" s="79"/>
      <c r="C6" s="23" t="s">
        <v>91</v>
      </c>
      <c r="D6" s="158" t="s">
        <v>443</v>
      </c>
      <c r="E6" s="103">
        <v>0</v>
      </c>
      <c r="F6" s="193"/>
    </row>
    <row r="7" spans="1:7" ht="28">
      <c r="A7" s="31">
        <v>3</v>
      </c>
      <c r="B7" s="80"/>
      <c r="C7" s="24" t="s">
        <v>43</v>
      </c>
      <c r="D7" s="77"/>
      <c r="E7" s="105">
        <v>0</v>
      </c>
      <c r="F7" s="194"/>
    </row>
    <row r="10" spans="1:7">
      <c r="B10" s="6"/>
      <c r="C10" s="7"/>
    </row>
    <row r="15" spans="1:7">
      <c r="B15" s="6"/>
    </row>
    <row r="18" spans="3:3">
      <c r="C18" s="3"/>
    </row>
    <row r="19" spans="3:3">
      <c r="C19" s="3"/>
    </row>
    <row r="20" spans="3:3">
      <c r="C20" s="3"/>
    </row>
  </sheetData>
  <sheetProtection password="CAED" sheet="1" objects="1" scenarios="1"/>
  <dataValidations count="1">
    <dataValidation type="whole" operator="lessThanOrEqual" allowBlank="1" showErrorMessage="1" error="Please enter:_x000a_&quot;0&quot; if No or None, or_x000a_&quot;1&quot; if Yes" sqref="E1:E1048576">
      <formula1>1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INSTRUCTIONS</vt:lpstr>
      <vt:lpstr>Country profile</vt:lpstr>
      <vt:lpstr>country</vt:lpstr>
      <vt:lpstr>Legislation</vt:lpstr>
      <vt:lpstr>Data coll &amp; ax</vt:lpstr>
      <vt:lpstr>Lab dx</vt:lpstr>
      <vt:lpstr>IEC</vt:lpstr>
      <vt:lpstr>Prev &amp; Ctrl</vt:lpstr>
      <vt:lpstr>Dog popn</vt:lpstr>
      <vt:lpstr>Cross-cutting issues</vt:lpstr>
      <vt:lpstr>SUMMARY (Score)</vt:lpstr>
      <vt:lpstr>SUMMARY (Stage)</vt:lpstr>
      <vt:lpstr>masterlist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 Asia Research</dc:creator>
  <cp:lastModifiedBy>Andre Coetzer</cp:lastModifiedBy>
  <cp:lastPrinted>2015-06-01T02:51:25Z</cp:lastPrinted>
  <dcterms:created xsi:type="dcterms:W3CDTF">2015-04-17T07:47:18Z</dcterms:created>
  <dcterms:modified xsi:type="dcterms:W3CDTF">2016-02-22T13:47:07Z</dcterms:modified>
</cp:coreProperties>
</file>