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autoCompressPictures="0"/>
  <mc:AlternateContent xmlns:mc="http://schemas.openxmlformats.org/markup-compatibility/2006">
    <mc:Choice Requires="x15">
      <x15ac:absPath xmlns:x15ac="http://schemas.microsoft.com/office/spreadsheetml/2010/11/ac" url="C:\Users\Dr Hetetchi\Desktop\"/>
    </mc:Choice>
  </mc:AlternateContent>
  <bookViews>
    <workbookView xWindow="0" yWindow="0" windowWidth="24375" windowHeight="12825" tabRatio="917" firstSheet="6" activeTab="10"/>
  </bookViews>
  <sheets>
    <sheet name="INSTRUCTIONS" sheetId="16" r:id="rId1"/>
    <sheet name="PAYS" sheetId="17" r:id="rId2"/>
    <sheet name="country" sheetId="18" state="hidden" r:id="rId3"/>
    <sheet name="LÉGISLATION" sheetId="2" r:id="rId4"/>
    <sheet name="COLLECTE DE DONNÉES ET ANALYSE" sheetId="3" r:id="rId5"/>
    <sheet name="DIAGNOSTIC DE LABORATOIRE" sheetId="5" r:id="rId6"/>
    <sheet name="INFORMATION, ÉDUCTION ET LA COM" sheetId="9" r:id="rId7"/>
    <sheet name="PRÉVENTION ET DE CONTRÔLE" sheetId="10" r:id="rId8"/>
    <sheet name="QUESTIONS TRANSVERSALES" sheetId="14" r:id="rId9"/>
    <sheet name="SUMMARY (Score)" sheetId="7" r:id="rId10"/>
    <sheet name="SUMMARY (Stage)" sheetId="15" r:id="rId11"/>
    <sheet name="RULES" sheetId="22" state="hidden" r:id="rId12"/>
    <sheet name="key activities" sheetId="21" state="hidden" r:id="rId13"/>
    <sheet name="masterlist" sheetId="20" state="hidden" r:id="rId14"/>
  </sheets>
  <definedNames>
    <definedName name="A_case_definition_for_animal_rabies_is_available">LÉGISLATION!$C$6:$C$19</definedName>
    <definedName name="ACHIEVEMENTS___ACTIVITIES">LÉGISLATION!$C$5:$C$19</definedName>
    <definedName name="COUNTRY">country!$A$1:$A$267</definedName>
    <definedName name="crossstage">'QUESTIONS TRANSVERSALES'!$A$5:$A$16</definedName>
    <definedName name="crossstatus">'QUESTIONS TRANSVERSALES'!$E$5:$E$16</definedName>
    <definedName name="datastage">'COLLECTE DE DONNÉES ET ANALYSE'!$A$5:$A$22</definedName>
    <definedName name="datastatus">'COLLECTE DE DONNÉES ET ANALYSE'!$E$5:$E$22</definedName>
    <definedName name="dogstage">#REF!</definedName>
    <definedName name="dogstatus">#REF!</definedName>
    <definedName name="iecstage">'INFORMATION, ÉDUCTION ET LA COM'!$A$5:$A$21</definedName>
    <definedName name="iecstatus">'INFORMATION, ÉDUCTION ET LA COM'!$E$5:$E$21</definedName>
    <definedName name="_xlnm.Print_Titles" localSheetId="10">'SUMMARY (Stage)'!$A:$A,'SUMMARY (Stage)'!$4:$5</definedName>
    <definedName name="kp" localSheetId="2">country!#REF!</definedName>
    <definedName name="labstage">'DIAGNOSTIC DE LABORATOIRE'!$A$5:$A$15</definedName>
    <definedName name="labstatus">'DIAGNOSTIC DE LABORATOIRE'!$E$5:$E$15</definedName>
    <definedName name="National_case_definition_for_animal_rabies">LÉGISLATION!$B$6:$B$19</definedName>
    <definedName name="OTHER_IMPORTANT_INFORMATION">LÉGISLATION!$D$5:$D$19</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'PRÉVENTION ET DE CONTRÔLE'!$A$5:$A$29</definedName>
    <definedName name="prevstatus">'PRÉVENTION ET DE CONTRÔLE'!$E$5:$E$29</definedName>
    <definedName name="REMARKS">LÉGISLATION!$F$5:$F$19</definedName>
    <definedName name="STAGE">LÉGISLATION!$A$5:$A$19</definedName>
    <definedName name="STATUS">LÉGISLATION!$E$5:$E$19</definedName>
    <definedName name="subcomponent">LÉGISLATION!$B$5:$B$19</definedName>
    <definedName name="tbl">LÉGISLATION!$A$5:$E$19</definedName>
    <definedName name="u" localSheetId="2">country!#REF!</definedName>
    <definedName name="_xlnm.Print_Area" localSheetId="9">'SUMMARY (Score)'!$A$1:$J$127</definedName>
  </definedNames>
  <calcPr calcId="152511" concurrentCalc="0"/>
  <pivotCaches>
    <pivotCache cacheId="0" r:id="rId15"/>
  </pivotCaches>
  <extLs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alcChain.xml><?xml version="1.0" encoding="utf-8"?>
<calcChain xmlns="http://schemas.openxmlformats.org/spreadsheetml/2006/main">
  <c r="I9" i="7" l="1"/>
  <c r="A49" i="15"/>
  <c r="C47" i="15" a="1"/>
  <c r="C47" i="15"/>
  <c r="C48" i="15" a="1"/>
  <c r="C48" i="15"/>
  <c r="C49" i="15" a="1"/>
  <c r="C50" i="15" a="1"/>
  <c r="C51" i="15" a="1"/>
  <c r="C52" i="15" a="1"/>
  <c r="C53" i="15" a="1"/>
  <c r="C54" i="15" a="1"/>
  <c r="C55" i="15" a="1"/>
  <c r="C49" i="15"/>
  <c r="C50" i="15"/>
  <c r="C51" i="15"/>
  <c r="C52" i="15"/>
  <c r="C53" i="15"/>
  <c r="C54" i="15"/>
  <c r="C55" i="15"/>
  <c r="S49" i="15"/>
  <c r="U47" i="15" a="1"/>
  <c r="U47" i="15"/>
  <c r="U48" i="15" a="1"/>
  <c r="U48" i="15"/>
  <c r="U49" i="15" a="1"/>
  <c r="U50" i="15" a="1"/>
  <c r="U51" i="15" a="1"/>
  <c r="U52" i="15" a="1"/>
  <c r="U53" i="15" a="1"/>
  <c r="U54" i="15" a="1"/>
  <c r="U55" i="15" a="1"/>
  <c r="U49" i="15"/>
  <c r="U50" i="15"/>
  <c r="U51" i="15"/>
  <c r="U52" i="15"/>
  <c r="U53" i="15"/>
  <c r="U54" i="15"/>
  <c r="U55" i="15"/>
  <c r="G49" i="15"/>
  <c r="I47" i="15" a="1"/>
  <c r="I47" i="15"/>
  <c r="I48" i="15" a="1"/>
  <c r="I48" i="15"/>
  <c r="I49" i="15" a="1"/>
  <c r="I50" i="15" a="1"/>
  <c r="I51" i="15" a="1"/>
  <c r="I52" i="15" a="1"/>
  <c r="I53" i="15" a="1"/>
  <c r="I54" i="15" a="1"/>
  <c r="I55" i="15" a="1"/>
  <c r="I49" i="15"/>
  <c r="I50" i="15"/>
  <c r="I51" i="15"/>
  <c r="I52" i="15"/>
  <c r="I53" i="15"/>
  <c r="I54" i="15"/>
  <c r="I55" i="15"/>
  <c r="D49" i="15"/>
  <c r="F47" i="15" a="1"/>
  <c r="F47" i="15"/>
  <c r="F48" i="15" a="1"/>
  <c r="F48" i="15"/>
  <c r="F49" i="15" a="1"/>
  <c r="F50" i="15" a="1"/>
  <c r="F51" i="15" a="1"/>
  <c r="F52" i="15" a="1"/>
  <c r="F53" i="15" a="1"/>
  <c r="F54" i="15" a="1"/>
  <c r="F55" i="15" a="1"/>
  <c r="F49" i="15"/>
  <c r="F50" i="15"/>
  <c r="F51" i="15"/>
  <c r="F52" i="15"/>
  <c r="F53" i="15"/>
  <c r="F54" i="15"/>
  <c r="F55" i="15"/>
  <c r="J49" i="15"/>
  <c r="L47" i="15" a="1"/>
  <c r="L47" i="15"/>
  <c r="L48" i="15" a="1"/>
  <c r="L48" i="15"/>
  <c r="L49" i="15" a="1"/>
  <c r="L50" i="15" a="1"/>
  <c r="L51" i="15" a="1"/>
  <c r="L52" i="15" a="1"/>
  <c r="L53" i="15" a="1"/>
  <c r="L54" i="15" a="1"/>
  <c r="L55" i="15" a="1"/>
  <c r="L49" i="15"/>
  <c r="L50" i="15"/>
  <c r="L51" i="15"/>
  <c r="L52" i="15"/>
  <c r="L53" i="15"/>
  <c r="L54" i="15"/>
  <c r="L55" i="15"/>
  <c r="M49" i="15"/>
  <c r="O47" i="15" a="1"/>
  <c r="O47" i="15"/>
  <c r="O48" i="15" a="1"/>
  <c r="O48" i="15"/>
  <c r="O49" i="15" a="1"/>
  <c r="O50" i="15" a="1"/>
  <c r="O51" i="15" a="1"/>
  <c r="O52" i="15" a="1"/>
  <c r="O53" i="15" a="1"/>
  <c r="O54" i="15" a="1"/>
  <c r="O55" i="15" a="1"/>
  <c r="O49" i="15"/>
  <c r="O50" i="15"/>
  <c r="O51" i="15"/>
  <c r="O52" i="15"/>
  <c r="O53" i="15"/>
  <c r="O54" i="15"/>
  <c r="O55" i="15"/>
  <c r="P49" i="15"/>
  <c r="R47" i="15" a="1"/>
  <c r="R47" i="15"/>
  <c r="R48" i="15" a="1"/>
  <c r="R48" i="15"/>
  <c r="R49" i="15" a="1"/>
  <c r="R50" i="15" a="1"/>
  <c r="R51" i="15" a="1"/>
  <c r="R52" i="15" a="1"/>
  <c r="R53" i="15" a="1"/>
  <c r="R54" i="15" a="1"/>
  <c r="R55" i="15" a="1"/>
  <c r="R49" i="15"/>
  <c r="R50" i="15"/>
  <c r="R51" i="15"/>
  <c r="R52" i="15"/>
  <c r="R53" i="15"/>
  <c r="R54" i="15"/>
  <c r="R55" i="15"/>
  <c r="H17" i="7"/>
  <c r="I17" i="7"/>
  <c r="I7" i="7"/>
  <c r="G8" i="15"/>
  <c r="I6" i="15" a="1"/>
  <c r="I6" i="15"/>
  <c r="I7" i="15" a="1"/>
  <c r="I7" i="15"/>
  <c r="I8" i="15" a="1"/>
  <c r="I9" i="15" a="1"/>
  <c r="I10" i="15" a="1"/>
  <c r="I8" i="15"/>
  <c r="I9" i="15"/>
  <c r="I10" i="15"/>
  <c r="J8" i="15"/>
  <c r="L6" i="15" a="1"/>
  <c r="L6" i="15"/>
  <c r="L7" i="15" a="1"/>
  <c r="L7" i="15"/>
  <c r="L8" i="15" a="1"/>
  <c r="L9" i="15" a="1"/>
  <c r="L10" i="15" a="1"/>
  <c r="L8" i="15"/>
  <c r="L9" i="15"/>
  <c r="L10" i="15"/>
  <c r="M8" i="15"/>
  <c r="O6" i="15" a="1"/>
  <c r="O6" i="15"/>
  <c r="O7" i="15" a="1"/>
  <c r="O7" i="15"/>
  <c r="O8" i="15" a="1"/>
  <c r="O9" i="15" a="1"/>
  <c r="O10" i="15" a="1"/>
  <c r="O8" i="15"/>
  <c r="O9" i="15"/>
  <c r="O10" i="15"/>
  <c r="P8" i="15"/>
  <c r="R6" i="15" a="1"/>
  <c r="R6" i="15"/>
  <c r="R7" i="15" a="1"/>
  <c r="R7" i="15"/>
  <c r="R8" i="15" a="1"/>
  <c r="R9" i="15" a="1"/>
  <c r="R10" i="15" a="1"/>
  <c r="R8" i="15"/>
  <c r="R9" i="15"/>
  <c r="R10" i="15"/>
  <c r="S8" i="15"/>
  <c r="U6" i="15" a="1"/>
  <c r="U6" i="15"/>
  <c r="U7" i="15" a="1"/>
  <c r="U7" i="15"/>
  <c r="U8" i="15" a="1"/>
  <c r="U9" i="15" a="1"/>
  <c r="U10" i="15" a="1"/>
  <c r="U8" i="15"/>
  <c r="U9" i="15"/>
  <c r="U10" i="15"/>
  <c r="A8" i="15"/>
  <c r="C6" i="15" a="1"/>
  <c r="C6" i="15"/>
  <c r="C7" i="15" a="1"/>
  <c r="C7" i="15"/>
  <c r="C8" i="15" a="1"/>
  <c r="C9" i="15" a="1"/>
  <c r="C10" i="15" a="1"/>
  <c r="C8" i="15"/>
  <c r="C9" i="15"/>
  <c r="C10" i="15"/>
  <c r="D8" i="15"/>
  <c r="F6" i="15"/>
  <c r="F7" i="15"/>
  <c r="F8" i="15"/>
  <c r="F9" i="15"/>
  <c r="F10" i="15"/>
  <c r="H7" i="7"/>
  <c r="J7" i="7"/>
  <c r="J8" i="7"/>
  <c r="J13" i="15"/>
  <c r="L11" i="15" a="1"/>
  <c r="L11" i="15"/>
  <c r="L12" i="15" a="1"/>
  <c r="L12" i="15"/>
  <c r="L13" i="15" a="1"/>
  <c r="L14" i="15" a="1"/>
  <c r="L15" i="15" a="1"/>
  <c r="L16" i="15" a="1"/>
  <c r="L17" i="15" a="1"/>
  <c r="L18" i="15" a="1"/>
  <c r="L19" i="15" a="1"/>
  <c r="L13" i="15"/>
  <c r="L14" i="15"/>
  <c r="L15" i="15"/>
  <c r="L16" i="15"/>
  <c r="L17" i="15"/>
  <c r="L18" i="15"/>
  <c r="L19" i="15"/>
  <c r="M13" i="15"/>
  <c r="O11" i="15" a="1"/>
  <c r="O11" i="15"/>
  <c r="O12" i="15" a="1"/>
  <c r="O12" i="15"/>
  <c r="O13" i="15" a="1"/>
  <c r="O14" i="15" a="1"/>
  <c r="O15" i="15" a="1"/>
  <c r="O16" i="15" a="1"/>
  <c r="O17" i="15" a="1"/>
  <c r="O18" i="15" a="1"/>
  <c r="O19" i="15" a="1"/>
  <c r="O13" i="15"/>
  <c r="O14" i="15"/>
  <c r="O15" i="15"/>
  <c r="O16" i="15"/>
  <c r="O17" i="15"/>
  <c r="O18" i="15"/>
  <c r="O19" i="15"/>
  <c r="P13" i="15"/>
  <c r="R11" i="15" a="1"/>
  <c r="R11" i="15"/>
  <c r="R12" i="15" a="1"/>
  <c r="R12" i="15"/>
  <c r="R13" i="15" a="1"/>
  <c r="R14" i="15" a="1"/>
  <c r="R15" i="15" a="1"/>
  <c r="R16" i="15" a="1"/>
  <c r="R17" i="15" a="1"/>
  <c r="R18" i="15" a="1"/>
  <c r="R19" i="15" a="1"/>
  <c r="R13" i="15"/>
  <c r="R14" i="15"/>
  <c r="R15" i="15"/>
  <c r="R16" i="15"/>
  <c r="R17" i="15"/>
  <c r="R18" i="15"/>
  <c r="R19" i="15"/>
  <c r="S13" i="15"/>
  <c r="U11" i="15" a="1"/>
  <c r="U11" i="15"/>
  <c r="U12" i="15" a="1"/>
  <c r="U12" i="15"/>
  <c r="U13" i="15" a="1"/>
  <c r="U14" i="15" a="1"/>
  <c r="U15" i="15" a="1"/>
  <c r="U16" i="15" a="1"/>
  <c r="U17" i="15" a="1"/>
  <c r="U18" i="15" a="1"/>
  <c r="U19" i="15" a="1"/>
  <c r="U13" i="15"/>
  <c r="U14" i="15"/>
  <c r="U15" i="15"/>
  <c r="U16" i="15"/>
  <c r="U17" i="15"/>
  <c r="U18" i="15"/>
  <c r="U19" i="15"/>
  <c r="A13" i="15"/>
  <c r="C11" i="15" a="1"/>
  <c r="C11" i="15"/>
  <c r="C12" i="15" a="1"/>
  <c r="C12" i="15"/>
  <c r="C13" i="15" a="1"/>
  <c r="C14" i="15" a="1"/>
  <c r="C15" i="15" a="1"/>
  <c r="C16" i="15" a="1"/>
  <c r="C17" i="15" a="1"/>
  <c r="C18" i="15" a="1"/>
  <c r="C19" i="15" a="1"/>
  <c r="C13" i="15"/>
  <c r="C14" i="15"/>
  <c r="C15" i="15"/>
  <c r="C16" i="15"/>
  <c r="C17" i="15"/>
  <c r="C18" i="15"/>
  <c r="C19" i="15"/>
  <c r="D13" i="15"/>
  <c r="F11" i="15" a="1"/>
  <c r="F12" i="15" a="1"/>
  <c r="F13" i="15" a="1"/>
  <c r="F14" i="15" a="1"/>
  <c r="F15" i="15" a="1"/>
  <c r="F16" i="15" a="1"/>
  <c r="F17" i="15" a="1"/>
  <c r="F18" i="15" a="1"/>
  <c r="F19" i="15" a="1"/>
  <c r="F11" i="15"/>
  <c r="F12" i="15"/>
  <c r="F13" i="15"/>
  <c r="F14" i="15"/>
  <c r="F15" i="15"/>
  <c r="F16" i="15"/>
  <c r="F17" i="15"/>
  <c r="F18" i="15"/>
  <c r="F19" i="15"/>
  <c r="G13" i="15"/>
  <c r="I11" i="15" a="1"/>
  <c r="I12" i="15" a="1"/>
  <c r="I13" i="15" a="1"/>
  <c r="I14" i="15" a="1"/>
  <c r="I15" i="15" a="1"/>
  <c r="I16" i="15" a="1"/>
  <c r="I17" i="15" a="1"/>
  <c r="I18" i="15" a="1"/>
  <c r="I19" i="15" a="1"/>
  <c r="I11" i="15"/>
  <c r="I12" i="15"/>
  <c r="I13" i="15"/>
  <c r="I14" i="15"/>
  <c r="I15" i="15"/>
  <c r="I16" i="15"/>
  <c r="I17" i="15"/>
  <c r="I18" i="15"/>
  <c r="I19" i="15"/>
  <c r="H9" i="7"/>
  <c r="J9" i="7"/>
  <c r="J10" i="7"/>
  <c r="I11" i="7"/>
  <c r="M22" i="15"/>
  <c r="O20" i="15" a="1"/>
  <c r="O20" i="15"/>
  <c r="O21" i="15" a="1"/>
  <c r="O21" i="15"/>
  <c r="O22" i="15" a="1"/>
  <c r="O23" i="15" a="1"/>
  <c r="O24" i="15" a="1"/>
  <c r="O25" i="15" a="1"/>
  <c r="O26" i="15" a="1"/>
  <c r="O27" i="15" a="1"/>
  <c r="O28" i="15" a="1"/>
  <c r="O22" i="15"/>
  <c r="O23" i="15"/>
  <c r="O24" i="15"/>
  <c r="O25" i="15"/>
  <c r="O26" i="15"/>
  <c r="O27" i="15"/>
  <c r="O28" i="15"/>
  <c r="P22" i="15"/>
  <c r="R20" i="15" a="1"/>
  <c r="R20" i="15"/>
  <c r="R21" i="15" a="1"/>
  <c r="R21" i="15"/>
  <c r="R22" i="15" a="1"/>
  <c r="R23" i="15" a="1"/>
  <c r="R24" i="15" a="1"/>
  <c r="R25" i="15" a="1"/>
  <c r="R26" i="15" a="1"/>
  <c r="R27" i="15" a="1"/>
  <c r="R28" i="15" a="1"/>
  <c r="R22" i="15"/>
  <c r="R23" i="15"/>
  <c r="R24" i="15"/>
  <c r="R25" i="15"/>
  <c r="R26" i="15"/>
  <c r="R27" i="15"/>
  <c r="R28" i="15"/>
  <c r="S22" i="15"/>
  <c r="U20" i="15" a="1"/>
  <c r="U20" i="15"/>
  <c r="U21" i="15" a="1"/>
  <c r="U21" i="15"/>
  <c r="U22" i="15" a="1"/>
  <c r="U23" i="15" a="1"/>
  <c r="U24" i="15" a="1"/>
  <c r="U25" i="15" a="1"/>
  <c r="U26" i="15" a="1"/>
  <c r="U27" i="15" a="1"/>
  <c r="U28" i="15" a="1"/>
  <c r="U22" i="15"/>
  <c r="U23" i="15"/>
  <c r="U24" i="15"/>
  <c r="U25" i="15"/>
  <c r="U26" i="15"/>
  <c r="U27" i="15"/>
  <c r="U28" i="15"/>
  <c r="J22" i="15"/>
  <c r="L20" i="15" a="1"/>
  <c r="L20" i="15"/>
  <c r="L21" i="15" a="1"/>
  <c r="L21" i="15"/>
  <c r="L22" i="15" a="1"/>
  <c r="L23" i="15" a="1"/>
  <c r="L24" i="15" a="1"/>
  <c r="L25" i="15" a="1"/>
  <c r="L26" i="15" a="1"/>
  <c r="L27" i="15" a="1"/>
  <c r="L28" i="15" a="1"/>
  <c r="L22" i="15"/>
  <c r="L23" i="15"/>
  <c r="L24" i="15"/>
  <c r="L25" i="15"/>
  <c r="L26" i="15"/>
  <c r="L27" i="15"/>
  <c r="L28" i="15"/>
  <c r="A22" i="15"/>
  <c r="C20" i="15" a="1"/>
  <c r="C20" i="15"/>
  <c r="C21" i="15" a="1"/>
  <c r="C21" i="15"/>
  <c r="C22" i="15" a="1"/>
  <c r="C23" i="15" a="1"/>
  <c r="C24" i="15" a="1"/>
  <c r="C25" i="15" a="1"/>
  <c r="C26" i="15" a="1"/>
  <c r="C27" i="15" a="1"/>
  <c r="C28" i="15" a="1"/>
  <c r="C22" i="15"/>
  <c r="C23" i="15"/>
  <c r="C24" i="15"/>
  <c r="C25" i="15"/>
  <c r="C26" i="15"/>
  <c r="C27" i="15"/>
  <c r="C28" i="15"/>
  <c r="D22" i="15"/>
  <c r="F20" i="15" a="1"/>
  <c r="F21" i="15" a="1"/>
  <c r="F22" i="15" a="1"/>
  <c r="F23" i="15" a="1"/>
  <c r="F24" i="15" a="1"/>
  <c r="F25" i="15" a="1"/>
  <c r="F26" i="15" a="1"/>
  <c r="F27" i="15" a="1"/>
  <c r="F28" i="15" a="1"/>
  <c r="F20" i="15"/>
  <c r="F21" i="15"/>
  <c r="F22" i="15"/>
  <c r="F23" i="15"/>
  <c r="F24" i="15"/>
  <c r="F25" i="15"/>
  <c r="F26" i="15"/>
  <c r="F27" i="15"/>
  <c r="F28" i="15"/>
  <c r="G22" i="15"/>
  <c r="I20" i="15" a="1"/>
  <c r="I21" i="15" a="1"/>
  <c r="I22" i="15" a="1"/>
  <c r="I23" i="15" a="1"/>
  <c r="I24" i="15" a="1"/>
  <c r="I25" i="15" a="1"/>
  <c r="I26" i="15" a="1"/>
  <c r="I27" i="15" a="1"/>
  <c r="I28" i="15" a="1"/>
  <c r="I20" i="15"/>
  <c r="I21" i="15"/>
  <c r="I22" i="15"/>
  <c r="I23" i="15"/>
  <c r="I24" i="15"/>
  <c r="I25" i="15"/>
  <c r="I26" i="15"/>
  <c r="I27" i="15"/>
  <c r="I28" i="15"/>
  <c r="H11" i="7"/>
  <c r="J11" i="7"/>
  <c r="J12" i="7"/>
  <c r="I13" i="7"/>
  <c r="J31" i="15"/>
  <c r="L29" i="15" a="1"/>
  <c r="L29" i="15"/>
  <c r="L30" i="15" a="1"/>
  <c r="L30" i="15"/>
  <c r="L31" i="15" a="1"/>
  <c r="L32" i="15" a="1"/>
  <c r="L33" i="15" a="1"/>
  <c r="L34" i="15" a="1"/>
  <c r="L35" i="15" a="1"/>
  <c r="L36" i="15" a="1"/>
  <c r="L37" i="15" a="1"/>
  <c r="L31" i="15"/>
  <c r="L32" i="15"/>
  <c r="L33" i="15"/>
  <c r="L34" i="15"/>
  <c r="L35" i="15"/>
  <c r="L36" i="15"/>
  <c r="L37" i="15"/>
  <c r="M31" i="15"/>
  <c r="O29" i="15" a="1"/>
  <c r="O29" i="15"/>
  <c r="O30" i="15" a="1"/>
  <c r="O30" i="15"/>
  <c r="O31" i="15" a="1"/>
  <c r="O32" i="15" a="1"/>
  <c r="O33" i="15" a="1"/>
  <c r="O34" i="15" a="1"/>
  <c r="O35" i="15" a="1"/>
  <c r="O36" i="15" a="1"/>
  <c r="O37" i="15" a="1"/>
  <c r="O31" i="15"/>
  <c r="O32" i="15"/>
  <c r="O33" i="15"/>
  <c r="O34" i="15"/>
  <c r="O35" i="15"/>
  <c r="O36" i="15"/>
  <c r="O37" i="15"/>
  <c r="P31" i="15"/>
  <c r="R29" i="15" a="1"/>
  <c r="R29" i="15"/>
  <c r="R30" i="15" a="1"/>
  <c r="R30" i="15"/>
  <c r="R31" i="15" a="1"/>
  <c r="R32" i="15" a="1"/>
  <c r="R33" i="15" a="1"/>
  <c r="R34" i="15" a="1"/>
  <c r="R35" i="15" a="1"/>
  <c r="R36" i="15" a="1"/>
  <c r="R37" i="15" a="1"/>
  <c r="R31" i="15"/>
  <c r="R32" i="15"/>
  <c r="R33" i="15"/>
  <c r="R34" i="15"/>
  <c r="R35" i="15"/>
  <c r="R36" i="15"/>
  <c r="R37" i="15"/>
  <c r="S31" i="15"/>
  <c r="U29" i="15" a="1"/>
  <c r="U29" i="15"/>
  <c r="U30" i="15" a="1"/>
  <c r="U30" i="15"/>
  <c r="U31" i="15" a="1"/>
  <c r="U32" i="15" a="1"/>
  <c r="U33" i="15" a="1"/>
  <c r="U34" i="15" a="1"/>
  <c r="U35" i="15" a="1"/>
  <c r="U36" i="15" a="1"/>
  <c r="U37" i="15" a="1"/>
  <c r="U31" i="15"/>
  <c r="U32" i="15"/>
  <c r="U33" i="15"/>
  <c r="U34" i="15"/>
  <c r="U35" i="15"/>
  <c r="U36" i="15"/>
  <c r="U37" i="15"/>
  <c r="A31" i="15"/>
  <c r="C29" i="15" a="1"/>
  <c r="C29" i="15"/>
  <c r="C30" i="15" a="1"/>
  <c r="C30" i="15"/>
  <c r="C31" i="15" a="1"/>
  <c r="C32" i="15" a="1"/>
  <c r="C33" i="15" a="1"/>
  <c r="C34" i="15" a="1"/>
  <c r="C35" i="15" a="1"/>
  <c r="C36" i="15" a="1"/>
  <c r="C37" i="15" a="1"/>
  <c r="C31" i="15"/>
  <c r="C32" i="15"/>
  <c r="C33" i="15"/>
  <c r="C34" i="15"/>
  <c r="C35" i="15"/>
  <c r="C36" i="15"/>
  <c r="C37" i="15"/>
  <c r="D31" i="15"/>
  <c r="F29" i="15" a="1"/>
  <c r="F30" i="15" a="1"/>
  <c r="F31" i="15" a="1"/>
  <c r="F32" i="15" a="1"/>
  <c r="F33" i="15" a="1"/>
  <c r="F34" i="15" a="1"/>
  <c r="F35" i="15" a="1"/>
  <c r="F36" i="15" a="1"/>
  <c r="F37" i="15" a="1"/>
  <c r="F29" i="15"/>
  <c r="F30" i="15"/>
  <c r="F31" i="15"/>
  <c r="F32" i="15"/>
  <c r="F33" i="15"/>
  <c r="F34" i="15"/>
  <c r="F35" i="15"/>
  <c r="F36" i="15"/>
  <c r="F37" i="15"/>
  <c r="G31" i="15"/>
  <c r="I29" i="15" a="1"/>
  <c r="I30" i="15" a="1"/>
  <c r="I31" i="15" a="1"/>
  <c r="I32" i="15" a="1"/>
  <c r="I33" i="15" a="1"/>
  <c r="I34" i="15" a="1"/>
  <c r="I35" i="15" a="1"/>
  <c r="I36" i="15" a="1"/>
  <c r="I37" i="15" a="1"/>
  <c r="I29" i="15"/>
  <c r="I30" i="15"/>
  <c r="I31" i="15"/>
  <c r="I32" i="15"/>
  <c r="I33" i="15"/>
  <c r="I34" i="15"/>
  <c r="I35" i="15"/>
  <c r="I36" i="15"/>
  <c r="I37" i="15"/>
  <c r="H13" i="7"/>
  <c r="J13" i="7"/>
  <c r="I15" i="7"/>
  <c r="G40" i="15"/>
  <c r="I38" i="15" a="1"/>
  <c r="I38" i="15"/>
  <c r="I39" i="15" a="1"/>
  <c r="I39" i="15"/>
  <c r="I40" i="15" a="1"/>
  <c r="I41" i="15" a="1"/>
  <c r="I42" i="15" a="1"/>
  <c r="I43" i="15" a="1"/>
  <c r="I44" i="15" a="1"/>
  <c r="I45" i="15" a="1"/>
  <c r="I46" i="15" a="1"/>
  <c r="I40" i="15"/>
  <c r="I41" i="15"/>
  <c r="I42" i="15"/>
  <c r="I43" i="15"/>
  <c r="I44" i="15"/>
  <c r="I45" i="15"/>
  <c r="I46" i="15"/>
  <c r="J40" i="15"/>
  <c r="L38" i="15" a="1"/>
  <c r="L38" i="15"/>
  <c r="L39" i="15" a="1"/>
  <c r="L39" i="15"/>
  <c r="L40" i="15" a="1"/>
  <c r="L41" i="15" a="1"/>
  <c r="L42" i="15" a="1"/>
  <c r="L43" i="15" a="1"/>
  <c r="L44" i="15" a="1"/>
  <c r="L45" i="15" a="1"/>
  <c r="L46" i="15" a="1"/>
  <c r="L40" i="15"/>
  <c r="L41" i="15"/>
  <c r="L42" i="15"/>
  <c r="L43" i="15"/>
  <c r="L44" i="15"/>
  <c r="L45" i="15"/>
  <c r="L46" i="15"/>
  <c r="M40" i="15"/>
  <c r="O38" i="15" a="1"/>
  <c r="O38" i="15"/>
  <c r="O39" i="15" a="1"/>
  <c r="O39" i="15"/>
  <c r="O40" i="15" a="1"/>
  <c r="O41" i="15" a="1"/>
  <c r="O42" i="15" a="1"/>
  <c r="O43" i="15" a="1"/>
  <c r="O44" i="15" a="1"/>
  <c r="O45" i="15" a="1"/>
  <c r="O46" i="15" a="1"/>
  <c r="O40" i="15"/>
  <c r="O41" i="15"/>
  <c r="O42" i="15"/>
  <c r="O43" i="15"/>
  <c r="O44" i="15"/>
  <c r="O45" i="15"/>
  <c r="O46" i="15"/>
  <c r="P40" i="15"/>
  <c r="R38" i="15" a="1"/>
  <c r="R38" i="15"/>
  <c r="R39" i="15" a="1"/>
  <c r="R39" i="15"/>
  <c r="R40" i="15" a="1"/>
  <c r="R41" i="15" a="1"/>
  <c r="R42" i="15" a="1"/>
  <c r="R43" i="15" a="1"/>
  <c r="R44" i="15" a="1"/>
  <c r="R45" i="15" a="1"/>
  <c r="R46" i="15" a="1"/>
  <c r="R40" i="15"/>
  <c r="R41" i="15"/>
  <c r="R42" i="15"/>
  <c r="R43" i="15"/>
  <c r="R44" i="15"/>
  <c r="R45" i="15"/>
  <c r="R46" i="15"/>
  <c r="S40" i="15"/>
  <c r="U38" i="15" a="1"/>
  <c r="U38" i="15"/>
  <c r="U39" i="15" a="1"/>
  <c r="U39" i="15"/>
  <c r="U40" i="15" a="1"/>
  <c r="U41" i="15" a="1"/>
  <c r="U42" i="15" a="1"/>
  <c r="U43" i="15" a="1"/>
  <c r="U44" i="15" a="1"/>
  <c r="U45" i="15" a="1"/>
  <c r="U46" i="15" a="1"/>
  <c r="U40" i="15"/>
  <c r="U41" i="15"/>
  <c r="U42" i="15"/>
  <c r="U43" i="15"/>
  <c r="U44" i="15"/>
  <c r="U45" i="15"/>
  <c r="U46" i="15"/>
  <c r="A40" i="15"/>
  <c r="C38" i="15" a="1"/>
  <c r="C38" i="15"/>
  <c r="C39" i="15" a="1"/>
  <c r="C39" i="15"/>
  <c r="C40" i="15" a="1"/>
  <c r="C41" i="15" a="1"/>
  <c r="C42" i="15" a="1"/>
  <c r="C43" i="15" a="1"/>
  <c r="C44" i="15" a="1"/>
  <c r="C45" i="15" a="1"/>
  <c r="C46" i="15" a="1"/>
  <c r="C40" i="15"/>
  <c r="C41" i="15"/>
  <c r="C42" i="15"/>
  <c r="C43" i="15"/>
  <c r="C44" i="15"/>
  <c r="C45" i="15"/>
  <c r="C46" i="15"/>
  <c r="D40" i="15"/>
  <c r="F38" i="15" a="1"/>
  <c r="F39" i="15" a="1"/>
  <c r="F40" i="15" a="1"/>
  <c r="F41" i="15" a="1"/>
  <c r="F42" i="15" a="1"/>
  <c r="F43" i="15" a="1"/>
  <c r="F44" i="15" a="1"/>
  <c r="F45" i="15" a="1"/>
  <c r="F46" i="15" a="1"/>
  <c r="F38" i="15"/>
  <c r="F39" i="15"/>
  <c r="F40" i="15"/>
  <c r="F41" i="15"/>
  <c r="F42" i="15"/>
  <c r="F43" i="15"/>
  <c r="F44" i="15"/>
  <c r="F45" i="15"/>
  <c r="F46" i="15"/>
  <c r="H15" i="7"/>
  <c r="J15" i="7"/>
  <c r="J17" i="7"/>
  <c r="A3" i="7"/>
  <c r="J14" i="7"/>
  <c r="J16" i="7"/>
  <c r="A1" i="7"/>
  <c r="A7" i="15"/>
  <c r="B6" i="15" a="1"/>
  <c r="B6" i="15"/>
  <c r="F1" i="15"/>
  <c r="E1" i="15"/>
  <c r="S48" i="15"/>
  <c r="S39" i="15"/>
  <c r="S30" i="15"/>
  <c r="S21" i="15"/>
  <c r="S12" i="15"/>
  <c r="S7" i="15"/>
  <c r="P48" i="15"/>
  <c r="Q48" i="15" a="1"/>
  <c r="Q48" i="15"/>
  <c r="P39" i="15"/>
  <c r="Q38" i="15" a="1"/>
  <c r="Q38" i="15"/>
  <c r="P30" i="15"/>
  <c r="Q32" i="15" a="1"/>
  <c r="Q32" i="15"/>
  <c r="P21" i="15"/>
  <c r="P12" i="15"/>
  <c r="Q12" i="15" a="1"/>
  <c r="Q12" i="15"/>
  <c r="P7" i="15"/>
  <c r="Q9" i="15" a="1"/>
  <c r="Q9" i="15"/>
  <c r="M48" i="15"/>
  <c r="N55" i="15" a="1"/>
  <c r="N55" i="15"/>
  <c r="M39" i="15"/>
  <c r="N44" i="15" a="1"/>
  <c r="N44" i="15"/>
  <c r="M30" i="15"/>
  <c r="N30" i="15" a="1"/>
  <c r="N30" i="15"/>
  <c r="M21" i="15"/>
  <c r="N20" i="15" a="1"/>
  <c r="N20" i="15"/>
  <c r="M12" i="15"/>
  <c r="N12" i="15" a="1"/>
  <c r="N12" i="15"/>
  <c r="M7" i="15"/>
  <c r="N10" i="15" a="1"/>
  <c r="N10" i="15"/>
  <c r="J48" i="15"/>
  <c r="K52" i="15" a="1"/>
  <c r="K52" i="15"/>
  <c r="J39" i="15"/>
  <c r="K45" i="15" a="1"/>
  <c r="K45" i="15"/>
  <c r="J30" i="15"/>
  <c r="K31" i="15" a="1"/>
  <c r="K31" i="15"/>
  <c r="J21" i="15"/>
  <c r="K20" i="15" a="1"/>
  <c r="K20" i="15"/>
  <c r="J12" i="15"/>
  <c r="J7" i="15"/>
  <c r="K6" i="15" a="1"/>
  <c r="K6" i="15"/>
  <c r="G48" i="15"/>
  <c r="H55" i="15" a="1"/>
  <c r="H55" i="15"/>
  <c r="G39" i="15"/>
  <c r="H39" i="15" a="1"/>
  <c r="H39" i="15"/>
  <c r="G30" i="15"/>
  <c r="H35" i="15" a="1"/>
  <c r="H35" i="15"/>
  <c r="G21" i="15"/>
  <c r="H25" i="15" a="1"/>
  <c r="H25" i="15"/>
  <c r="G12" i="15"/>
  <c r="H14" i="15" a="1"/>
  <c r="H14" i="15"/>
  <c r="G7" i="15"/>
  <c r="H8" i="15" a="1"/>
  <c r="H8" i="15"/>
  <c r="D48" i="15"/>
  <c r="E53" i="15" a="1"/>
  <c r="E53" i="15"/>
  <c r="D39" i="15"/>
  <c r="E45" i="15" a="1"/>
  <c r="E45" i="15"/>
  <c r="D30" i="15"/>
  <c r="E30" i="15" a="1"/>
  <c r="E30" i="15"/>
  <c r="D21" i="15"/>
  <c r="E21" i="15" a="1"/>
  <c r="E21" i="15"/>
  <c r="D12" i="15"/>
  <c r="E14" i="15" a="1"/>
  <c r="E14" i="15"/>
  <c r="D7" i="15"/>
  <c r="E6" i="15"/>
  <c r="A48" i="15"/>
  <c r="B55" i="15" a="1"/>
  <c r="B55" i="15"/>
  <c r="A39" i="15"/>
  <c r="B44" i="15" a="1"/>
  <c r="B44" i="15"/>
  <c r="A30" i="15"/>
  <c r="B29" i="15" a="1"/>
  <c r="B29" i="15"/>
  <c r="A21" i="15"/>
  <c r="B22" i="15" a="1"/>
  <c r="B22" i="15"/>
  <c r="A12" i="15"/>
  <c r="B18" i="15" a="1"/>
  <c r="B18" i="15"/>
  <c r="C19" i="7"/>
  <c r="B19" i="7"/>
  <c r="C17" i="7"/>
  <c r="B17" i="7"/>
  <c r="C15" i="7"/>
  <c r="B15" i="7"/>
  <c r="C13" i="7"/>
  <c r="B13" i="7"/>
  <c r="C11" i="7"/>
  <c r="B11" i="7"/>
  <c r="C9" i="7"/>
  <c r="B9" i="7"/>
  <c r="C7" i="7"/>
  <c r="B7" i="7"/>
  <c r="Q49" i="15" a="1"/>
  <c r="Q49" i="15"/>
  <c r="T12" i="15" a="1"/>
  <c r="T12" i="15"/>
  <c r="T16" i="15" a="1"/>
  <c r="T16" i="15"/>
  <c r="T15" i="15" a="1"/>
  <c r="T15" i="15"/>
  <c r="T19" i="15" a="1"/>
  <c r="T19" i="15"/>
  <c r="T11" i="15" a="1"/>
  <c r="T11" i="15"/>
  <c r="T14" i="15" a="1"/>
  <c r="T14" i="15"/>
  <c r="T18" i="15" a="1"/>
  <c r="T18" i="15"/>
  <c r="T13" i="15" a="1"/>
  <c r="T13" i="15"/>
  <c r="T17" i="15" a="1"/>
  <c r="T17" i="15"/>
  <c r="T48" i="15" a="1"/>
  <c r="T48" i="15"/>
  <c r="T52" i="15" a="1"/>
  <c r="T52" i="15"/>
  <c r="T51" i="15" a="1"/>
  <c r="T51" i="15"/>
  <c r="T55" i="15" a="1"/>
  <c r="T55" i="15"/>
  <c r="T47" i="15" a="1"/>
  <c r="T47" i="15"/>
  <c r="T50" i="15" a="1"/>
  <c r="T50" i="15"/>
  <c r="T54" i="15" a="1"/>
  <c r="T54" i="15"/>
  <c r="T49" i="15" a="1"/>
  <c r="T49" i="15"/>
  <c r="T53" i="15" a="1"/>
  <c r="T53" i="15"/>
  <c r="T23" i="15" a="1"/>
  <c r="T23" i="15"/>
  <c r="T27" i="15" a="1"/>
  <c r="T27" i="15"/>
  <c r="T22" i="15" a="1"/>
  <c r="T22" i="15"/>
  <c r="T26" i="15" a="1"/>
  <c r="T26" i="15"/>
  <c r="T21" i="15" a="1"/>
  <c r="T21" i="15"/>
  <c r="T25" i="15" a="1"/>
  <c r="T25" i="15"/>
  <c r="T24" i="15" a="1"/>
  <c r="T24" i="15"/>
  <c r="T28" i="15" a="1"/>
  <c r="T28" i="15"/>
  <c r="T20" i="15" a="1"/>
  <c r="T20" i="15"/>
  <c r="T41" i="15" a="1"/>
  <c r="T41" i="15"/>
  <c r="T45" i="15" a="1"/>
  <c r="T45" i="15"/>
  <c r="T40" i="15" a="1"/>
  <c r="T40" i="15"/>
  <c r="T44" i="15" a="1"/>
  <c r="T44" i="15"/>
  <c r="T39" i="15" a="1"/>
  <c r="T39" i="15"/>
  <c r="T43" i="15" a="1"/>
  <c r="T43" i="15"/>
  <c r="T42" i="15" a="1"/>
  <c r="T42" i="15"/>
  <c r="T46" i="15" a="1"/>
  <c r="T46" i="15"/>
  <c r="T38" i="15" a="1"/>
  <c r="T38" i="15"/>
  <c r="T30" i="15" a="1"/>
  <c r="T30" i="15"/>
  <c r="T34" i="15" a="1"/>
  <c r="T34" i="15"/>
  <c r="T33" i="15" a="1"/>
  <c r="T33" i="15"/>
  <c r="T37" i="15" a="1"/>
  <c r="T37" i="15"/>
  <c r="T29" i="15" a="1"/>
  <c r="T29" i="15"/>
  <c r="T32" i="15" a="1"/>
  <c r="T32" i="15"/>
  <c r="T36" i="15" a="1"/>
  <c r="T36" i="15"/>
  <c r="T31" i="15" a="1"/>
  <c r="T31" i="15"/>
  <c r="T35" i="15" a="1"/>
  <c r="T35" i="15"/>
  <c r="T6" i="15" a="1"/>
  <c r="T6" i="15"/>
  <c r="T7" i="15" a="1"/>
  <c r="T7" i="15"/>
  <c r="T10" i="15" a="1"/>
  <c r="T10" i="15"/>
  <c r="T8" i="15" a="1"/>
  <c r="T8" i="15"/>
  <c r="T9" i="15" a="1"/>
  <c r="T9" i="15"/>
  <c r="Q24" i="15" a="1"/>
  <c r="Q24" i="15"/>
  <c r="Q27" i="15" a="1"/>
  <c r="Q27" i="15"/>
  <c r="Q22" i="15" a="1"/>
  <c r="Q22" i="15"/>
  <c r="Q25" i="15" a="1"/>
  <c r="Q25" i="15"/>
  <c r="Q21" i="15" a="1"/>
  <c r="Q21" i="15"/>
  <c r="Q23" i="15" a="1"/>
  <c r="Q23" i="15"/>
  <c r="Q20" i="15" a="1"/>
  <c r="Q20" i="15"/>
  <c r="Q28" i="15" a="1"/>
  <c r="Q28" i="15"/>
  <c r="Q26" i="15" a="1"/>
  <c r="Q26" i="15"/>
  <c r="Q42" i="15" a="1"/>
  <c r="Q42" i="15"/>
  <c r="Q45" i="15" a="1"/>
  <c r="Q45" i="15"/>
  <c r="Q41" i="15" a="1"/>
  <c r="Q41" i="15"/>
  <c r="N22" i="15" a="1"/>
  <c r="N22" i="15"/>
  <c r="N37" i="15" a="1"/>
  <c r="N37" i="15"/>
  <c r="N28" i="15" a="1"/>
  <c r="N28" i="15"/>
  <c r="N48" i="15" a="1"/>
  <c r="N48" i="15"/>
  <c r="B41" i="15" a="1"/>
  <c r="B41" i="15"/>
  <c r="N13" i="15" a="1"/>
  <c r="N13" i="15"/>
  <c r="B21" i="15" a="1"/>
  <c r="B21" i="15"/>
  <c r="B7" i="15" a="1"/>
  <c r="B7" i="15"/>
  <c r="N23" i="15" a="1"/>
  <c r="N23" i="15"/>
  <c r="N7" i="15" a="1"/>
  <c r="N7" i="15"/>
  <c r="N39" i="15" a="1"/>
  <c r="N39" i="15"/>
  <c r="N24" i="15" a="1"/>
  <c r="N24" i="15"/>
  <c r="N46" i="15" a="1"/>
  <c r="N46" i="15"/>
  <c r="N43" i="15" a="1"/>
  <c r="N43" i="15"/>
  <c r="Q53" i="15" a="1"/>
  <c r="Q53" i="15"/>
  <c r="B11" i="15" a="1"/>
  <c r="B11" i="15"/>
  <c r="B47" i="15" a="1"/>
  <c r="B47" i="15"/>
  <c r="B32" i="15" a="1"/>
  <c r="B32" i="15"/>
  <c r="B54" i="15" a="1"/>
  <c r="B54" i="15"/>
  <c r="B13" i="15" a="1"/>
  <c r="B13" i="15"/>
  <c r="B9" i="15" a="1"/>
  <c r="B9" i="15"/>
  <c r="B53" i="15" a="1"/>
  <c r="B53" i="15"/>
  <c r="B49" i="15" a="1"/>
  <c r="B49" i="15"/>
  <c r="B8" i="15" a="1"/>
  <c r="B8" i="15"/>
  <c r="B10" i="15" a="1"/>
  <c r="B10" i="15"/>
  <c r="B50" i="15" a="1"/>
  <c r="B50" i="15"/>
  <c r="B34" i="15" a="1"/>
  <c r="B34" i="15"/>
  <c r="H10" i="15" a="1"/>
  <c r="H10" i="15"/>
  <c r="H34" i="15" a="1"/>
  <c r="H34" i="15"/>
  <c r="H36" i="15" a="1"/>
  <c r="H36" i="15"/>
  <c r="H29" i="15" a="1"/>
  <c r="H29" i="15"/>
  <c r="H9" i="15" a="1"/>
  <c r="H9" i="15"/>
  <c r="K38" i="15" a="1"/>
  <c r="K38" i="15"/>
  <c r="K33" i="15" a="1"/>
  <c r="K33" i="15"/>
  <c r="N26" i="15" a="1"/>
  <c r="N26" i="15"/>
  <c r="N21" i="15" a="1"/>
  <c r="N21" i="15"/>
  <c r="N40" i="15" a="1"/>
  <c r="N40" i="15"/>
  <c r="N49" i="15" a="1"/>
  <c r="N49" i="15"/>
  <c r="N27" i="15" a="1"/>
  <c r="N27" i="15"/>
  <c r="N45" i="15" a="1"/>
  <c r="N45" i="15"/>
  <c r="N6" i="15" a="1"/>
  <c r="N6" i="15"/>
  <c r="N34" i="15" a="1"/>
  <c r="N34" i="15"/>
  <c r="N8" i="15" a="1"/>
  <c r="N8" i="15"/>
  <c r="Q19" i="15" a="1"/>
  <c r="Q19" i="15"/>
  <c r="Q50" i="15" a="1"/>
  <c r="Q50" i="15"/>
  <c r="Q51" i="15" a="1"/>
  <c r="Q51" i="15"/>
  <c r="Q55" i="15" a="1"/>
  <c r="Q55" i="15"/>
  <c r="Q14" i="15" a="1"/>
  <c r="Q14" i="15"/>
  <c r="Q36" i="15" a="1"/>
  <c r="Q36" i="15"/>
  <c r="Q31" i="15" a="1"/>
  <c r="Q31" i="15"/>
  <c r="Q18" i="15" a="1"/>
  <c r="Q18" i="15"/>
  <c r="Q54" i="15" a="1"/>
  <c r="Q54" i="15"/>
  <c r="Q30" i="15" a="1"/>
  <c r="Q30" i="15"/>
  <c r="Q47" i="15" a="1"/>
  <c r="Q47" i="15"/>
  <c r="Q52" i="15" a="1"/>
  <c r="Q52" i="15"/>
  <c r="Q37" i="15" a="1"/>
  <c r="Q37" i="15"/>
  <c r="Q34" i="15" a="1"/>
  <c r="Q34" i="15"/>
  <c r="Q17" i="15" a="1"/>
  <c r="Q17" i="15"/>
  <c r="Q29" i="15" a="1"/>
  <c r="Q29" i="15"/>
  <c r="Q35" i="15" a="1"/>
  <c r="Q35" i="15"/>
  <c r="Q33" i="15" a="1"/>
  <c r="Q33" i="15"/>
  <c r="Q46" i="15" a="1"/>
  <c r="Q46" i="15"/>
  <c r="Q40" i="15" a="1"/>
  <c r="Q40" i="15"/>
  <c r="Q15" i="15" a="1"/>
  <c r="Q15" i="15"/>
  <c r="Q39" i="15" a="1"/>
  <c r="Q39" i="15"/>
  <c r="Q43" i="15" a="1"/>
  <c r="Q43" i="15"/>
  <c r="Q13" i="15" a="1"/>
  <c r="Q13" i="15"/>
  <c r="Q44" i="15" a="1"/>
  <c r="Q44" i="15"/>
  <c r="N47" i="15" a="1"/>
  <c r="N47" i="15"/>
  <c r="N54" i="15" a="1"/>
  <c r="N54" i="15"/>
  <c r="N38" i="15" a="1"/>
  <c r="N38" i="15"/>
  <c r="N18" i="15" a="1"/>
  <c r="N18" i="15"/>
  <c r="N41" i="15" a="1"/>
  <c r="N41" i="15"/>
  <c r="N29" i="15" a="1"/>
  <c r="N29" i="15"/>
  <c r="N53" i="15" a="1"/>
  <c r="N53" i="15"/>
  <c r="N36" i="15" a="1"/>
  <c r="N36" i="15"/>
  <c r="N9" i="15" a="1"/>
  <c r="N9" i="15"/>
  <c r="N33" i="15" a="1"/>
  <c r="N33" i="15"/>
  <c r="N50" i="15" a="1"/>
  <c r="N50" i="15"/>
  <c r="N32" i="15" a="1"/>
  <c r="N32" i="15"/>
  <c r="N19" i="15" a="1"/>
  <c r="N19" i="15"/>
  <c r="N14" i="15" a="1"/>
  <c r="N14" i="15"/>
  <c r="N52" i="15" a="1"/>
  <c r="N52" i="15"/>
  <c r="N16" i="15" a="1"/>
  <c r="N16" i="15"/>
  <c r="N51" i="15" a="1"/>
  <c r="N51" i="15"/>
  <c r="N35" i="15" a="1"/>
  <c r="N35" i="15"/>
  <c r="N25" i="15" a="1"/>
  <c r="N25" i="15"/>
  <c r="N42" i="15" a="1"/>
  <c r="N42" i="15"/>
  <c r="N31" i="15" a="1"/>
  <c r="N31" i="15"/>
  <c r="N11" i="15" a="1"/>
  <c r="N11" i="15"/>
  <c r="N15" i="15" a="1"/>
  <c r="N15" i="15"/>
  <c r="N17" i="15" a="1"/>
  <c r="N17" i="15"/>
  <c r="H20" i="15" a="1"/>
  <c r="H20" i="15"/>
  <c r="H42" i="15" a="1"/>
  <c r="H42" i="15"/>
  <c r="K36" i="15" a="1"/>
  <c r="K36" i="15"/>
  <c r="K37" i="15" a="1"/>
  <c r="K37" i="15"/>
  <c r="E18" i="15" a="1"/>
  <c r="E18" i="15"/>
  <c r="E47" i="15" a="1"/>
  <c r="E47" i="15"/>
  <c r="E54" i="15" a="1"/>
  <c r="E54" i="15"/>
  <c r="E34" i="15" a="1"/>
  <c r="E34" i="15"/>
  <c r="E51" i="15" a="1"/>
  <c r="E51" i="15"/>
  <c r="E31" i="15" a="1"/>
  <c r="E31" i="15"/>
  <c r="E33" i="15" a="1"/>
  <c r="E33" i="15"/>
  <c r="E36" i="15" a="1"/>
  <c r="E36" i="15"/>
  <c r="Q6" i="15" a="1"/>
  <c r="Q6" i="15"/>
  <c r="Q7" i="15" a="1"/>
  <c r="Q7" i="15"/>
  <c r="Q10" i="15" a="1"/>
  <c r="Q10" i="15"/>
  <c r="Q16" i="15" a="1"/>
  <c r="Q16" i="15"/>
  <c r="Q11" i="15" a="1"/>
  <c r="Q11" i="15"/>
  <c r="Q8" i="15" a="1"/>
  <c r="Q8" i="15"/>
  <c r="K54" i="15" a="1"/>
  <c r="K54" i="15"/>
  <c r="K43" i="15" a="1"/>
  <c r="K43" i="15"/>
  <c r="K39" i="15" a="1"/>
  <c r="K39" i="15"/>
  <c r="K47" i="15" a="1"/>
  <c r="K47" i="15"/>
  <c r="K51" i="15" a="1"/>
  <c r="K51" i="15"/>
  <c r="K41" i="15" a="1"/>
  <c r="K41" i="15"/>
  <c r="K49" i="15" a="1"/>
  <c r="K49" i="15"/>
  <c r="K42" i="15" a="1"/>
  <c r="K42" i="15"/>
  <c r="K55" i="15" a="1"/>
  <c r="K55" i="15"/>
  <c r="K53" i="15" a="1"/>
  <c r="K53" i="15"/>
  <c r="K8" i="15" a="1"/>
  <c r="K8" i="15"/>
  <c r="K23" i="15" a="1"/>
  <c r="K23" i="15"/>
  <c r="K26" i="15" a="1"/>
  <c r="K26" i="15"/>
  <c r="K28" i="15" a="1"/>
  <c r="K28" i="15"/>
  <c r="K21" i="15" a="1"/>
  <c r="K21" i="15"/>
  <c r="K29" i="15" a="1"/>
  <c r="K29" i="15"/>
  <c r="K48" i="15" a="1"/>
  <c r="K48" i="15"/>
  <c r="K30" i="15" a="1"/>
  <c r="K30" i="15"/>
  <c r="K50" i="15" a="1"/>
  <c r="K50" i="15"/>
  <c r="K46" i="15" a="1"/>
  <c r="K46" i="15"/>
  <c r="K40" i="15" a="1"/>
  <c r="K40" i="15"/>
  <c r="K44" i="15" a="1"/>
  <c r="K44" i="15"/>
  <c r="K27" i="15" a="1"/>
  <c r="K27" i="15"/>
  <c r="K22" i="15" a="1"/>
  <c r="K22" i="15"/>
  <c r="K24" i="15" a="1"/>
  <c r="K24" i="15"/>
  <c r="K25" i="15" a="1"/>
  <c r="K25" i="15"/>
  <c r="K9" i="15" a="1"/>
  <c r="K9" i="15"/>
  <c r="K10" i="15" a="1"/>
  <c r="K10" i="15"/>
  <c r="E13" i="15" a="1"/>
  <c r="E13" i="15"/>
  <c r="E25" i="15" a="1"/>
  <c r="E25" i="15"/>
  <c r="E12" i="15" a="1"/>
  <c r="E12" i="15"/>
  <c r="E43" i="15" a="1"/>
  <c r="E43" i="15"/>
  <c r="E27" i="15" a="1"/>
  <c r="E27" i="15"/>
  <c r="E19" i="15" a="1"/>
  <c r="E19" i="15"/>
  <c r="E11" i="15" a="1"/>
  <c r="E11" i="15"/>
  <c r="E28" i="15" a="1"/>
  <c r="E28" i="15"/>
  <c r="E17" i="15" a="1"/>
  <c r="E17" i="15"/>
  <c r="E15" i="15" a="1"/>
  <c r="E15" i="15"/>
  <c r="E40" i="15" a="1"/>
  <c r="E40" i="15"/>
  <c r="E16" i="15" a="1"/>
  <c r="E16" i="15"/>
  <c r="E23" i="15" a="1"/>
  <c r="E23" i="15"/>
  <c r="E48" i="15" a="1"/>
  <c r="E48" i="15"/>
  <c r="E49" i="15" a="1"/>
  <c r="E49" i="15"/>
  <c r="E55" i="15" a="1"/>
  <c r="E55" i="15"/>
  <c r="E7" i="15"/>
  <c r="E20" i="15" a="1"/>
  <c r="E20" i="15"/>
  <c r="E52" i="15" a="1"/>
  <c r="E52" i="15"/>
  <c r="E50" i="15" a="1"/>
  <c r="E50" i="15"/>
  <c r="E24" i="15" a="1"/>
  <c r="E24" i="15"/>
  <c r="E22" i="15" a="1"/>
  <c r="E22" i="15"/>
  <c r="E26" i="15" a="1"/>
  <c r="E26" i="15"/>
  <c r="E9" i="15"/>
  <c r="E29" i="15" a="1"/>
  <c r="E29" i="15"/>
  <c r="E37" i="15" a="1"/>
  <c r="E37" i="15"/>
  <c r="E8" i="15"/>
  <c r="E44" i="15" a="1"/>
  <c r="E44" i="15"/>
  <c r="E39" i="15" a="1"/>
  <c r="E39" i="15"/>
  <c r="E46" i="15" a="1"/>
  <c r="E46" i="15"/>
  <c r="E38" i="15" a="1"/>
  <c r="E38" i="15"/>
  <c r="E41" i="15" a="1"/>
  <c r="E41" i="15"/>
  <c r="E32" i="15" a="1"/>
  <c r="E32" i="15"/>
  <c r="E10" i="15"/>
  <c r="E42" i="15" a="1"/>
  <c r="E42" i="15"/>
  <c r="E35" i="15" a="1"/>
  <c r="E35" i="15"/>
  <c r="B19" i="15" a="1"/>
  <c r="B19" i="15"/>
  <c r="B45" i="15" a="1"/>
  <c r="B45" i="15"/>
  <c r="B51" i="15" a="1"/>
  <c r="B51" i="15"/>
  <c r="B15" i="15" a="1"/>
  <c r="B15" i="15"/>
  <c r="B43" i="15" a="1"/>
  <c r="B43" i="15"/>
  <c r="B52" i="15" a="1"/>
  <c r="B52" i="15"/>
  <c r="B23" i="15" a="1"/>
  <c r="B23" i="15"/>
  <c r="B12" i="15" a="1"/>
  <c r="B12" i="15"/>
  <c r="B40" i="15" a="1"/>
  <c r="B40" i="15"/>
  <c r="B46" i="15" a="1"/>
  <c r="B46" i="15"/>
  <c r="B16" i="15" a="1"/>
  <c r="B16" i="15"/>
  <c r="B48" i="15" a="1"/>
  <c r="B48" i="15"/>
  <c r="B24" i="15" a="1"/>
  <c r="B24" i="15"/>
  <c r="K14" i="15" a="1"/>
  <c r="K14" i="15"/>
  <c r="K11" i="15" a="1"/>
  <c r="K11" i="15"/>
  <c r="K16" i="15" a="1"/>
  <c r="K16" i="15"/>
  <c r="K18" i="15" a="1"/>
  <c r="K18" i="15"/>
  <c r="K17" i="15" a="1"/>
  <c r="K17" i="15"/>
  <c r="K19" i="15" a="1"/>
  <c r="K19" i="15"/>
  <c r="K15" i="15" a="1"/>
  <c r="K15" i="15"/>
  <c r="K12" i="15" a="1"/>
  <c r="K12" i="15"/>
  <c r="K13" i="15" a="1"/>
  <c r="K13" i="15"/>
  <c r="K34" i="15" a="1"/>
  <c r="K34" i="15"/>
  <c r="K35" i="15" a="1"/>
  <c r="K35" i="15"/>
  <c r="K32" i="15" a="1"/>
  <c r="K32" i="15"/>
  <c r="K7" i="15" a="1"/>
  <c r="K7" i="15"/>
  <c r="B42" i="15" a="1"/>
  <c r="B42" i="15"/>
  <c r="B27" i="15" a="1"/>
  <c r="B27" i="15"/>
  <c r="B14" i="15" a="1"/>
  <c r="B14" i="15"/>
  <c r="B33" i="15" a="1"/>
  <c r="B33" i="15"/>
  <c r="B38" i="15" a="1"/>
  <c r="B38" i="15"/>
  <c r="B17" i="15" a="1"/>
  <c r="B17" i="15"/>
  <c r="B28" i="15" a="1"/>
  <c r="B28" i="15"/>
  <c r="B25" i="15" a="1"/>
  <c r="B25" i="15"/>
  <c r="B31" i="15" a="1"/>
  <c r="B31" i="15"/>
  <c r="B35" i="15" a="1"/>
  <c r="B35" i="15"/>
  <c r="B26" i="15" a="1"/>
  <c r="B26" i="15"/>
  <c r="B30" i="15" a="1"/>
  <c r="B30" i="15"/>
  <c r="B20" i="15" a="1"/>
  <c r="B20" i="15"/>
  <c r="B39" i="15" a="1"/>
  <c r="B39" i="15"/>
  <c r="B37" i="15" a="1"/>
  <c r="B37" i="15"/>
  <c r="B36" i="15" a="1"/>
  <c r="B36" i="15"/>
  <c r="H45" i="15" a="1"/>
  <c r="H45" i="15"/>
  <c r="H38" i="15" a="1"/>
  <c r="H38" i="15"/>
  <c r="H40" i="15" a="1"/>
  <c r="H40" i="15"/>
  <c r="H32" i="15" a="1"/>
  <c r="H32" i="15"/>
  <c r="H17" i="15" a="1"/>
  <c r="H17" i="15"/>
  <c r="H30" i="15" a="1"/>
  <c r="H30" i="15"/>
  <c r="H37" i="15" a="1"/>
  <c r="H37" i="15"/>
  <c r="H51" i="15" a="1"/>
  <c r="H51" i="15"/>
  <c r="H53" i="15" a="1"/>
  <c r="H53" i="15"/>
  <c r="H33" i="15" a="1"/>
  <c r="H33" i="15"/>
  <c r="H31" i="15" a="1"/>
  <c r="H31" i="15"/>
  <c r="H54" i="15" a="1"/>
  <c r="H54" i="15"/>
  <c r="H52" i="15" a="1"/>
  <c r="H52" i="15"/>
  <c r="H13" i="15" a="1"/>
  <c r="H13" i="15"/>
  <c r="H15" i="15" a="1"/>
  <c r="H15" i="15"/>
  <c r="H18" i="15" a="1"/>
  <c r="H18" i="15"/>
  <c r="H23" i="15" a="1"/>
  <c r="H23" i="15"/>
  <c r="H41" i="15" a="1"/>
  <c r="H41" i="15"/>
  <c r="H12" i="15" a="1"/>
  <c r="H12" i="15"/>
  <c r="H11" i="15" a="1"/>
  <c r="H11" i="15"/>
  <c r="H22" i="15" a="1"/>
  <c r="H22" i="15"/>
  <c r="H21" i="15" a="1"/>
  <c r="H21" i="15"/>
  <c r="H19" i="15" a="1"/>
  <c r="H19" i="15"/>
  <c r="H16" i="15" a="1"/>
  <c r="H16" i="15"/>
  <c r="H44" i="15" a="1"/>
  <c r="H44" i="15"/>
  <c r="H6" i="15" a="1"/>
  <c r="H6" i="15"/>
  <c r="H7" i="15" a="1"/>
  <c r="H7" i="15"/>
  <c r="H28" i="15" a="1"/>
  <c r="H28" i="15"/>
  <c r="H27" i="15" a="1"/>
  <c r="H27" i="15"/>
  <c r="H26" i="15" a="1"/>
  <c r="H26" i="15"/>
  <c r="H24" i="15" a="1"/>
  <c r="H24" i="15"/>
  <c r="H50" i="15" a="1"/>
  <c r="H50" i="15"/>
  <c r="H43" i="15" a="1"/>
  <c r="H43" i="15"/>
  <c r="H46" i="15" a="1"/>
  <c r="H46" i="15"/>
  <c r="H48" i="15" a="1"/>
  <c r="H48" i="15"/>
  <c r="H47" i="15" a="1"/>
  <c r="H47" i="15"/>
  <c r="H49" i="15" a="1"/>
  <c r="H49" i="15"/>
  <c r="G7" i="7"/>
  <c r="G13" i="7"/>
  <c r="G11" i="7"/>
  <c r="G15" i="7"/>
  <c r="G9" i="7"/>
  <c r="G17" i="7"/>
</calcChain>
</file>

<file path=xl/sharedStrings.xml><?xml version="1.0" encoding="utf-8"?>
<sst xmlns="http://schemas.openxmlformats.org/spreadsheetml/2006/main" count="880" uniqueCount="610">
  <si>
    <t>STAGE</t>
  </si>
  <si>
    <t>STATUS</t>
  </si>
  <si>
    <t>Surveillance</t>
  </si>
  <si>
    <t>Only quality dog vaccines in accordance with OIE standards are being used</t>
  </si>
  <si>
    <t>Dog vaccination campaigns are regularly implemented in response to human cases and animal outbreaks</t>
  </si>
  <si>
    <t>Capacity for outbreak and re-introduction response maintained</t>
  </si>
  <si>
    <t>Dog population studies to determine size, turn-over and accessibility have been conducted in pilot areas</t>
  </si>
  <si>
    <t>Identification of main national stakeholders in rabies prevention and control has been carried out</t>
  </si>
  <si>
    <t>Mechanisms for mobilizing emergency funds in case of an outbreak have been identified</t>
  </si>
  <si>
    <t>Mechanisms for regular intersectoral collaboration are in place and implemented</t>
  </si>
  <si>
    <t>Veterinary border inspection and quarantine measures are fully implemented in accordance with national regulations</t>
  </si>
  <si>
    <t>The animal rabies case definition has been disseminated to relevant professionals</t>
  </si>
  <si>
    <t>The human rabies case definition has been disseminated to relevant professionals</t>
  </si>
  <si>
    <t>subcomponent</t>
  </si>
  <si>
    <t>SUMMARY OF RABIES PROGRAM ACTIVITIES</t>
  </si>
  <si>
    <t>Stepwise Approach towards Rabies Elimination</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</si>
  <si>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</si>
  <si>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</si>
  <si>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</si>
  <si>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</si>
  <si>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</si>
  <si>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</si>
  <si>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</si>
  <si>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</si>
  <si>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</si>
  <si>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</si>
  <si>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</si>
  <si>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</si>
  <si>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</si>
  <si>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</si>
  <si>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</si>
  <si>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</si>
  <si>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</si>
  <si>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</si>
  <si>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</si>
  <si>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</si>
  <si>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</si>
  <si>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</si>
  <si>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</si>
  <si>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</si>
  <si>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</si>
  <si>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</si>
  <si>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</si>
  <si>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</si>
  <si>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</si>
  <si>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</si>
  <si>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</si>
  <si>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</si>
  <si>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</si>
  <si>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</si>
  <si>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</si>
  <si>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</si>
  <si>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</si>
  <si>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</si>
  <si>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</si>
  <si>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</si>
  <si>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</si>
  <si>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</si>
  <si>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</si>
  <si>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</si>
  <si>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</si>
  <si>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</si>
  <si>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</si>
  <si>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</si>
  <si>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</si>
  <si>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</si>
  <si>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</si>
  <si>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</si>
  <si>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</si>
  <si>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</si>
  <si>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</si>
  <si>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</si>
  <si>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</si>
  <si>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</si>
  <si>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</si>
  <si>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</si>
  <si>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</si>
  <si>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</si>
  <si>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</si>
  <si>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</si>
  <si>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</si>
  <si>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</si>
  <si>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</si>
  <si>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</si>
  <si>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</si>
  <si>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</si>
  <si>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</si>
  <si>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</si>
  <si>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</si>
  <si>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</si>
  <si>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</si>
  <si>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</si>
  <si>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</si>
  <si>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</si>
  <si>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</si>
  <si>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</si>
  <si>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</si>
  <si>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</si>
  <si>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</si>
  <si>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</si>
  <si>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</si>
  <si>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</si>
  <si>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</si>
  <si>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</si>
  <si>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</si>
  <si>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</si>
  <si>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</si>
  <si>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</si>
  <si>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</si>
  <si>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</si>
  <si>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</si>
  <si>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</si>
  <si>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</si>
  <si>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</si>
  <si>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</si>
  <si>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</si>
  <si>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</si>
  <si>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</si>
  <si>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</si>
  <si>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</si>
  <si>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</si>
  <si>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</si>
  <si>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</si>
  <si>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</si>
  <si>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</si>
  <si>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</si>
  <si>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</si>
  <si>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</si>
  <si>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</si>
  <si>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</si>
  <si>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</si>
  <si>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</si>
  <si>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</si>
  <si>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</si>
  <si>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</si>
  <si>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</si>
  <si>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</si>
  <si>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</si>
  <si>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</si>
  <si>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</si>
  <si>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</si>
  <si>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</si>
  <si>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</si>
  <si>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</si>
  <si>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</si>
  <si>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</si>
  <si>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</si>
  <si>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</si>
  <si>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</si>
  <si>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</si>
  <si>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</si>
  <si>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</si>
  <si>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</si>
  <si>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</si>
  <si>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</si>
  <si>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</si>
  <si>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</si>
  <si>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</si>
  <si>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</si>
  <si>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</si>
  <si>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</si>
  <si>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</si>
  <si>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</si>
  <si>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</si>
  <si>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</si>
  <si>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</si>
  <si>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</si>
  <si>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</si>
  <si>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</si>
  <si>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</si>
  <si>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</si>
  <si>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</si>
  <si>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</si>
  <si>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</si>
  <si>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</si>
  <si>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</si>
  <si>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</si>
  <si>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</si>
  <si>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</si>
  <si>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</si>
  <si>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</si>
  <si>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</si>
  <si>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</si>
  <si>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</si>
  <si>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</si>
  <si>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</si>
  <si>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</si>
  <si>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</si>
  <si>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</si>
  <si>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</si>
  <si>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</si>
  <si>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</si>
  <si>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</si>
  <si>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</si>
  <si>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</si>
  <si>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</si>
  <si>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</si>
  <si>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</si>
  <si>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</si>
  <si>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</si>
  <si>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</si>
  <si>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</si>
  <si>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</si>
  <si>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</si>
  <si>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</si>
  <si>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</si>
  <si>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</si>
  <si>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</si>
  <si>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</si>
  <si>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</si>
  <si>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</si>
  <si>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</si>
  <si>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</si>
  <si>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</si>
  <si>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</si>
  <si>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</si>
  <si>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</si>
  <si>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</si>
  <si>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</si>
  <si>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</si>
  <si>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</si>
  <si>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</si>
  <si>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</si>
  <si>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</si>
  <si>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</si>
  <si>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</si>
  <si>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</si>
  <si>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</si>
  <si>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</si>
  <si>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</si>
  <si>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</si>
  <si>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</si>
  <si>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</si>
  <si>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</si>
  <si>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</si>
  <si>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</si>
  <si>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</si>
  <si>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</si>
  <si>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</si>
  <si>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</si>
  <si>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</si>
  <si>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</si>
  <si>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</si>
  <si>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</si>
  <si>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</si>
  <si>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</si>
  <si>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</si>
  <si>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</si>
  <si>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</si>
  <si>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</si>
  <si>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</si>
  <si>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</si>
  <si>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</si>
  <si>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</si>
  <si>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</si>
  <si>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</si>
  <si>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</si>
  <si>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</si>
  <si>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</si>
  <si>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</si>
  <si>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</si>
  <si>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</si>
  <si>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</si>
  <si>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</si>
  <si>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</si>
  <si>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</si>
  <si>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</si>
  <si>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</si>
  <si>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</si>
  <si>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</si>
  <si>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</si>
  <si>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</si>
  <si>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</si>
  <si>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</si>
  <si>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</si>
  <si>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</si>
  <si>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</si>
  <si>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</si>
  <si>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</si>
  <si>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</si>
  <si>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</si>
  <si>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</si>
  <si>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</si>
  <si>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</si>
  <si>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</si>
  <si>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</si>
  <si>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COMPONENT</t>
  </si>
  <si>
    <t>ACTIVITY</t>
  </si>
  <si>
    <t>IEC</t>
  </si>
  <si>
    <t>A case definition consistent with OIE for animal rabies is available</t>
  </si>
  <si>
    <t>A case definition consistent with WHO for human rabies is available</t>
  </si>
  <si>
    <t>Contacts with an international rabies reference laboratory or international collaborating/reference center are established</t>
  </si>
  <si>
    <t xml:space="preserve">Several rabies suspect samples of animals or humans are submitted to a national laboratory and analysed by an internationally recommended method  </t>
  </si>
  <si>
    <t xml:space="preserve">At least one rabies suspect sample of animals or humans is submitted to an international rabies reference laboratory for confirmation </t>
  </si>
  <si>
    <t xml:space="preserve">The national authority reports at least one confirmed rabies case to WHO or OIE </t>
  </si>
  <si>
    <t xml:space="preserve">Result of rabies sample(s) are shared appropriately with local and national authorities </t>
  </si>
  <si>
    <t>There is a legal framework relevant to rabies prevention and control</t>
  </si>
  <si>
    <t xml:space="preserve">If there is a legal framework, the framework has been reviewed to determine if it is adequate.  </t>
  </si>
  <si>
    <t xml:space="preserve">Rabies is made a notifiable disease in animals </t>
  </si>
  <si>
    <t xml:space="preserve">Rabies is made a notifiable disease in humans </t>
  </si>
  <si>
    <t>Legislation includes compulsory rabies vaccination of dogs or proposed if not in place</t>
  </si>
  <si>
    <t>Legislation includes measures for outbreak response</t>
  </si>
  <si>
    <t xml:space="preserve">Reporting of dog rabies from local to national level </t>
  </si>
  <si>
    <t>Reporting of human rabies from local to national level</t>
  </si>
  <si>
    <t>Dog rabies data analysis capacity at the national level has been established</t>
  </si>
  <si>
    <t>Human rabies data analysis capacity at the national level has been established</t>
  </si>
  <si>
    <t>Dog bite reporting and documentation have been reviewed and data compiled</t>
  </si>
  <si>
    <t>Communications situation and needs (KAP, training needs, stakeholder analysis) assessed at pilot level</t>
  </si>
  <si>
    <t>Target audiences identified for public, professional and advocacy communications (at-risk communities, dog owners, health professionals, at-risk community leaders/authorities, politicians)</t>
  </si>
  <si>
    <t>A rabies communication plan developed for public, professional and advocacy target audiences</t>
  </si>
  <si>
    <t xml:space="preserve">Training or refresher courses on rabies initiated for professionals in human and animal health </t>
  </si>
  <si>
    <t>Dog rabies vaccines are available in the country</t>
  </si>
  <si>
    <t xml:space="preserve">Dog vaccination is initiated in some parts or pilot areas of the country </t>
  </si>
  <si>
    <t xml:space="preserve">Other rabies control activities such as IBCM, dog population management have been implemented (at least in pilot areas) </t>
  </si>
  <si>
    <t>Vaccines for human rabies prophylaxis are available in the country</t>
  </si>
  <si>
    <t>A first assessment on access to PEP (and PreP) has been carried out</t>
  </si>
  <si>
    <t>Stakeholder consultations held within the last 3 years</t>
  </si>
  <si>
    <t>Intersectoral rabies task force, committee or working group established at local or national level and meeting at least twice a year</t>
  </si>
  <si>
    <t>Based on pilot area experience, a short term rabies action plan has been developed and endorsed by relevant stakeholders at local / national level</t>
  </si>
  <si>
    <t>The animal rabies case definition has been reviewed and endorsed (intersectoral approach)</t>
  </si>
  <si>
    <t>The human rabies case definition has been reviewed and endorsed (intersectoral approach)</t>
  </si>
  <si>
    <t xml:space="preserve">Legal frameworks updated to include specifications on compulsory vaccination of dogs and international movement of animals. </t>
  </si>
  <si>
    <t>Establishment of linked human and animal rabies surveillance systems, including agreed SOPs</t>
  </si>
  <si>
    <t xml:space="preserve">Human rabies surveillance systems, including feedback mechanism, coordinated between administrative levels (national, province, district, municipal, etc.) </t>
  </si>
  <si>
    <t>Animal rabies surveillance systems, including feedback mechanism, coordinated between administrative levels (national, province, district, municipal, etc.)</t>
  </si>
  <si>
    <t>Information on the epidemiology of rabies is regularly shared with all stakeholders</t>
  </si>
  <si>
    <t xml:space="preserve">Capacity for sample collection and transportation has been established </t>
  </si>
  <si>
    <t>Routine laboratory diagnosis of animal rabies cases in country</t>
  </si>
  <si>
    <t>WHO pre-qualified human rabies vaccines available and accessible in most parts of the country</t>
  </si>
  <si>
    <t>Supply and access to WHO pre-qualified human rabies vaccines for PrEP for professionals at risk ensured throughout the pilot areas</t>
  </si>
  <si>
    <t>Any use of human biologics not WHO-pre-qualified is being phased out (e.g. nerve tissue vaccines, low quality vaccines)</t>
  </si>
  <si>
    <t>IBCM SOPs agreed, including sharing of information between sectors</t>
  </si>
  <si>
    <t xml:space="preserve">SOPs for the observation of dogs involved in biting incidents available </t>
  </si>
  <si>
    <t>Rabies awareness campaigns including responsible dog ownership have been expanded to more areas</t>
  </si>
  <si>
    <t>Refinement of strategy based on current dog ecology and KAP surveys</t>
  </si>
  <si>
    <t xml:space="preserve">Rabies communication plan reviewed and updated </t>
  </si>
  <si>
    <t>Public awareness and sensitization campaigns are tailored to specific target groups (e.g. community leaders, authorities and health professionals, World Rabies Day Activities).</t>
  </si>
  <si>
    <t>Training of human and animal health personnel has been conducted in most parts of the country</t>
  </si>
  <si>
    <t>A national strategy and programme for rabies prevention, control and eventual elimination has been  drafted and shared with all relevant stakeholders</t>
  </si>
  <si>
    <t xml:space="preserve">Government resources identified and allocated in support of the national rabies control strategy and programme  </t>
  </si>
  <si>
    <t>Contribution and role of  private sector clarified and shared with other stakeholders</t>
  </si>
  <si>
    <t>Access to laboratory diagnosis is available throughout the country  for animal samples (and if possible also for human samples)</t>
  </si>
  <si>
    <t>Regular characterization and analysis of circulating rabies virus variants by a national or international laboratory</t>
  </si>
  <si>
    <t xml:space="preserve">Conduct field investigations for all suspected human rabies cases </t>
  </si>
  <si>
    <t>Epidemiological evidence available to rule out dog- transmitted human rabies cases</t>
  </si>
  <si>
    <t>Conduct field investigations and laboratory confirmation for all suspected rabies outbreaks in dogs</t>
  </si>
  <si>
    <t xml:space="preserve">Initiate collection of local or national health economic data on rabies control to make the case for rabies control investment </t>
  </si>
  <si>
    <t>Expand health economic studies to support further prioritization within the national rabies control programme</t>
  </si>
  <si>
    <t>WHO pre-qualified Pre- and Post- Exposure Prophylaxis available and accessible to high risk and exposed individuals throughout the country</t>
  </si>
  <si>
    <t>Capacity to conduct field investigations and planned outbreak response for animal and human rabies cases is available in the entire country</t>
  </si>
  <si>
    <t>Sufficient facilities for observation of rabies-suspected dogs established and comply with international animal welfare regulations</t>
  </si>
  <si>
    <t>Identification of potential rabies free zones where canine variant cases is absent for at least a 2 year period</t>
  </si>
  <si>
    <t xml:space="preserve">Mass dog vaccination campaigns (at least 70% of the total dog population) are conducted according to the national rabies strategy </t>
  </si>
  <si>
    <t>Post-vaccination surveys in dogs to evaluate vaccination coverage</t>
  </si>
  <si>
    <t>Declaration of  dog-transmitted rabies free zones publicized</t>
  </si>
  <si>
    <t>Promote responsible dog ownership together with rabies awareness campaigns</t>
  </si>
  <si>
    <t xml:space="preserve">Strengthen public awareness campaigns to advocate dog vaccination to leaders and authorities </t>
  </si>
  <si>
    <t>Communication plan on rabies elimination is implemented</t>
  </si>
  <si>
    <t xml:space="preserve">Refinement of national strategy based on monitoring and evaluation </t>
  </si>
  <si>
    <t>Maintenance of existing surveillance activities, including ongoing laboratory investigation, for all suspected cases in dogs in the country</t>
  </si>
  <si>
    <t>Maintenance of existing surveillance activities for all suspected cases in humans in the country</t>
  </si>
  <si>
    <t>Epidemiological data from routine surveillance of all animals (working animals, livestock and wildlife) used to refine the national rabies strategy</t>
  </si>
  <si>
    <t>Dog vaccination campaigns are maintained in zones where dog rabies is still present or where otherwise justified (e.g. risk of introduction)</t>
  </si>
  <si>
    <t>Freedom from dog-transmitted rabies in the entire country verified by the absence of canine variant cases for at least a 2 year period</t>
  </si>
  <si>
    <t>Measures to prevent re-introduction applied in designated rabies free zones including dialogue with neighbouring countries.</t>
  </si>
  <si>
    <t>Emergency response/contingency plan to any case of animal rabies involving a canine variant developed in preparation of the post elimination phase</t>
  </si>
  <si>
    <t>Declaration of national dog-transmitted rabies freedom publicized</t>
  </si>
  <si>
    <t>Awareness programmes focusing on maintenance of freedom from dog and dog transmitted human rabies</t>
  </si>
  <si>
    <t>On-going surveillance system for rabies maintained</t>
  </si>
  <si>
    <t>On-going laboratory investigation of all suspected cases in domestic and wild animal species in the country</t>
  </si>
  <si>
    <t xml:space="preserve">Dog population management and responsible dog ownership campaigns are continued </t>
  </si>
  <si>
    <t xml:space="preserve">Based on risk assessment, dog vaccination campaigns are maintained where justified </t>
  </si>
  <si>
    <t>Modified protocols for PEP administration for rabies free areas implemented</t>
  </si>
  <si>
    <t>LEG</t>
  </si>
  <si>
    <t>LAB</t>
  </si>
  <si>
    <t>DCA</t>
  </si>
  <si>
    <t>CCI</t>
  </si>
  <si>
    <t>PCO</t>
  </si>
  <si>
    <t xml:space="preserve">Public awareness activities on rabies prevention, dog bite management and dog vaccination initiated (e.g. WRD)  </t>
  </si>
  <si>
    <t xml:space="preserve">Rabies diagnostic capacity has been established in at least one national laboratory </t>
  </si>
  <si>
    <t>SARE Stage Keys for Stage Progression</t>
  </si>
  <si>
    <t>IEC/DPO</t>
  </si>
  <si>
    <t>leg</t>
  </si>
  <si>
    <t>dca</t>
  </si>
  <si>
    <t>lab</t>
  </si>
  <si>
    <t>iec</t>
  </si>
  <si>
    <t>pco</t>
  </si>
  <si>
    <t>dpo</t>
  </si>
  <si>
    <t>cci</t>
  </si>
  <si>
    <t>Row Labels</t>
  </si>
  <si>
    <t>Grand Total</t>
  </si>
  <si>
    <t>Count of ACTIVITY</t>
  </si>
  <si>
    <t>RULES FOR STAGE PROGRESSION</t>
  </si>
  <si>
    <t>RULE</t>
  </si>
  <si>
    <t>SCORE</t>
  </si>
  <si>
    <t>All critical activities (see hidden Key Activities worksheet) accomplished</t>
  </si>
  <si>
    <t>Not all but at least 1 critical activity checked, AND 50% +1 of all activities checked</t>
  </si>
  <si>
    <t>+ 0.5</t>
  </si>
  <si>
    <t>+ 1</t>
  </si>
  <si>
    <t>+ 0</t>
  </si>
  <si>
    <t>No critical activity accomplished</t>
  </si>
  <si>
    <t>At least 1 critical activity checked, AND 50% or less of all activities checked</t>
  </si>
  <si>
    <t>50% or more of the critical activities checked</t>
  </si>
  <si>
    <t>PAYS:</t>
  </si>
  <si>
    <t>( Vous pouvez sélectionner le nom de votre pays dans la liste déroulante )</t>
  </si>
  <si>
    <t>PRÉPARE PAR :</t>
  </si>
  <si>
    <t xml:space="preserve">DATE DE PRÉPARATION </t>
  </si>
  <si>
    <t>LÉGISLATION</t>
  </si>
  <si>
    <t>Instructions : Entrez "0 " sous État si Non ou Aucun, ou "1" si Oui</t>
  </si>
  <si>
    <t>ÉTAPE</t>
  </si>
  <si>
    <t>RÉALISATIONS / ACTIVITES</t>
  </si>
  <si>
    <t>AUTRES RENSEIGNEMENTS IMPORTANTS
( s'il vous plaît inclure dans REMARQUES )</t>
  </si>
  <si>
    <t>REMARQUES</t>
  </si>
  <si>
    <t>Définition de cas nationale pour la rage animales</t>
  </si>
  <si>
    <t>Cadre légal</t>
  </si>
  <si>
    <t>Agences de la définition de cas a été diffusée à</t>
  </si>
  <si>
    <t>Agences et unité de gouvernement local la définition a été approuvé à</t>
  </si>
  <si>
    <t>Année du dernier cas de rage signalés</t>
  </si>
  <si>
    <t>Titre du cadre et de l'année, il a été adopté</t>
  </si>
  <si>
    <t>Année du cadre a été examiné</t>
  </si>
  <si>
    <t>Une définition de cas de rage animale est disponible et compatible avec la définition de l’OIE</t>
  </si>
  <si>
    <t>Définition de cas nationale pour la rage humaine</t>
  </si>
  <si>
    <t>La définition de cas de rage animale a été disséminée aux professionnels concernés</t>
  </si>
  <si>
    <t>La définition de cas de rage animale a été examinée et approuvée (approche intersectorielle)</t>
  </si>
  <si>
    <t>La définition de cas de rage humaine a été examinée et approuvée (approche intersectorielle)</t>
  </si>
  <si>
    <t>La définition de cas de rage humaine a été disséminée aux professionnels concernés</t>
  </si>
  <si>
    <t>Une définition de cas de rage humaine est disponible et compatible avec la définition de l’OMS</t>
  </si>
  <si>
    <t>L’autorité nationale annonce au moins un cas de rage confirmé à l’OMS ou l’OIE</t>
  </si>
  <si>
    <t>Il existe un système juridique en matière de la prévention et du contrôle de la rage</t>
  </si>
  <si>
    <t>S'il existe un système juridique, il a été testé pour déterminer s’il est adéquat.</t>
  </si>
  <si>
    <t>La rage animale est une maladie à déclaration obligatoire</t>
  </si>
  <si>
    <t>La rage humaine est une maladie à déclaration obligatoire</t>
  </si>
  <si>
    <t>La législation comprend la vaccination obligatoire des chiens contre la rage, ou au moins propose la vaccination si la législation n’existe pas</t>
  </si>
  <si>
    <t>La législation comprend des mesures d’intervention concernant une épidémie</t>
  </si>
  <si>
    <t>Déclaration et publication des zones exemptes de rage canine</t>
  </si>
  <si>
    <t>COLLECTE DE DONNÉES ET ANALYSE</t>
  </si>
  <si>
    <t>Rapport des cas de rage canine du niveau local jusqu'au niveau national</t>
  </si>
  <si>
    <t>Rapport des cas de rage humaine du niveau local jusqu'au niveau national</t>
  </si>
  <si>
    <t>La capacité d'analyse des données sur les cas de rage canine au niveau national est introduite</t>
  </si>
  <si>
    <t>La capacité d'analyse des données sur les cas de rage humaine au niveau national est introduite</t>
  </si>
  <si>
    <t xml:space="preserve">Des registres de morsures de chiens sont examinés et les données sont compilées </t>
  </si>
  <si>
    <t xml:space="preserve">Des études sur la population canine ont été effectuées dans les zones pilotes pour déterminer la taille,  la dynamique et l’accessibilité </t>
  </si>
  <si>
    <t>Mise en place de systèmes de surveillance de rage humaine et animale associés, y compris des SOPs (Modes opératoires standardisés)</t>
  </si>
  <si>
    <t>Des systèmes de surveillance de rage humaine, y compris des mécanismes de rétroaction, sont coordonnés entre les niveaux administratifs (national, province, district, municipal, etc.)</t>
  </si>
  <si>
    <t>Des systèmes de surveillance de rage animale, y compris des mécanismes de rétroaction, sont coordonnés entre les niveaux administratifs (national, province, district, municipal, etc.)</t>
  </si>
  <si>
    <t>Des informations sur l'épidémiologie de la rage sont régulièrement partagées avec toutes les parties prenantes</t>
  </si>
  <si>
    <t>Des enquêtes sur tous les cas suspects de rage humaine sont effectuées sur le terrain</t>
  </si>
  <si>
    <t>Des preuves épidémiologiques sont disponibles pour l’exclusion des cas de rage humain causés par les chiens</t>
  </si>
  <si>
    <t>Des analyses et  confirmations en laboratoire concernant les épidémies de rage suspectes dans la population canine sont effectuées sur le terrain</t>
  </si>
  <si>
    <t>Maintien des activités de surveillance existantes dans le pays de tous les cas suspects de rage humain</t>
  </si>
  <si>
    <t>Des études économiques de la santé</t>
  </si>
  <si>
    <t>Les données épidémiologiques de la surveillance systématique de tous les animaux (les animaux de travail, le bétail et les animaux sauvage) sont utilisées pour améliorer la stratégie nationale de lutte contre la rage</t>
  </si>
  <si>
    <t>Maintien d’un système de surveillance pour la rage</t>
  </si>
  <si>
    <t>Initiation de la collection des données économiques de la santé locale et nationale concernant le contrôle de rage, afin de favoriser les arguments au profit des investissements de la lutte contre la rage</t>
  </si>
  <si>
    <t>Des études ont été menées Année</t>
  </si>
  <si>
    <t>S'il vous plaît décrire brièvement les systèmes de surveillance</t>
  </si>
  <si>
    <t>Rapidité de l'information et de la rétroaction, et les intervenants impliqués</t>
  </si>
  <si>
    <t>Acteurs impliqués</t>
  </si>
  <si>
    <t>DIAGNOSTIC DE LABORATOIRE</t>
  </si>
  <si>
    <t>Spécimen renvoi</t>
  </si>
  <si>
    <t>La capacité des laboratoires</t>
  </si>
  <si>
    <t>Des contacts sont établis avec un laboratoire international de référence de rage ou un centre collaborateur/centre international de référence</t>
  </si>
  <si>
    <t>Au moins un échantillon suspect de rage (animal, homme) est soumis à un laboratoire international de référence de rage pour la confirmation</t>
  </si>
  <si>
    <t>Des échantillons suspects de rage (animaux, humaine) sont soumis à un laboratoire national et analysés par une méthode recommandée au niveau international</t>
  </si>
  <si>
    <t>Des diagnostics de routine des cas de rage animale en laboratoire sont effectués dans le pays</t>
  </si>
  <si>
    <t>La capacité de collecte d'échantillons et de transport a été établie</t>
  </si>
  <si>
    <t>L'accès au diagnostic de laboratoire pour les échantillons d'animaux (et si possible aussi pour les échantillons humains) est possible dans tout le pays</t>
  </si>
  <si>
    <t>La caractérisation et l'analyse des variantes et de la circulation du virus rabique sont effectuées régulièrement par un laboratoire national ou international</t>
  </si>
  <si>
    <t>Maintien des activités de surveillance existantes dans le pays, y compris les examens de laboratoire de tous les cas suspects de rage canine</t>
  </si>
  <si>
    <t>Maintien des investigations de laboratoire de tous les cas suspects dans les espèces animales domestiques et sauvages dans le pays.</t>
  </si>
  <si>
    <t>Nom et localisation du laboratoire</t>
  </si>
  <si>
    <t>Nom de l'institution ou les tests moleculaires ont ete conduits</t>
  </si>
  <si>
    <t>La capacité de diagnostic de la rage a été établi dans au moins un laboratoire national</t>
  </si>
  <si>
    <t>Les noms des laboratoires de référence de la rage internationales ou centres collaborateurs / référence</t>
  </si>
  <si>
    <t>Année de référence la plus récente de l'échantillon;
Nom du laboratoire international de référence de la rage</t>
  </si>
  <si>
    <t>Nom du laboratoire national;
Test de laboratoire utilisé</t>
  </si>
  <si>
    <t>INFORMATION, ÉDUCATION ET LA COMMUNICATION</t>
  </si>
  <si>
    <t>La coordination intersectorielle</t>
  </si>
  <si>
    <t>Plan de communication de la rage</t>
  </si>
  <si>
    <t>Renforcement des capacités</t>
  </si>
  <si>
    <t>Des campagnes de sensibilisation de la rage</t>
  </si>
  <si>
    <t>Des études sur 'Knowledge, Attitude and Practice (KAP survey)' sur la rage ont été menées dans des zones pilotes</t>
  </si>
  <si>
    <t>Les publics cibles ont été identifiés pour les communications publiques, professionnelles et de plaidoyer (communautés à risque, les propriétaires de chiens, les professionnels de la santé, leader de la communauté/autorités à risque, politiciens)</t>
  </si>
  <si>
    <t>Un plan de communication de la rage a été développé pour les publics cibles des communautés, professionnels et de plaidoyer</t>
  </si>
  <si>
    <t>Le plan de communication de la rage a été examiné et mis à jour</t>
  </si>
  <si>
    <t>Le plan de communication sur l’élimination de la rage est mise en œuvre</t>
  </si>
  <si>
    <t>Des campagnes de sensibilisation à la rage, y compris des formations sur la possession responsable de chiens,  ont été étendues à plusieurs zones</t>
  </si>
  <si>
    <t>Promouvoir une attitude responsable des propriétaires de chiens, accompagné par des campagnes de sensibilisation de la rage</t>
  </si>
  <si>
    <t>Renforcement des campagnes de sensibilisation publiques des leaders et autorités pour appuyer la vaccination des chiens</t>
  </si>
  <si>
    <t>Déclaration et publication des pays exemptes de rage transmises par les chiens</t>
  </si>
  <si>
    <t>Les programmes de sensibilisation sont axés sur le maintien de la liberté de la rage canine et la rage humaine transmise par les chiens</t>
  </si>
  <si>
    <t>Continuation du management de la population canine et des campagnes  de sensibilisation des propriétaires de chien</t>
  </si>
  <si>
    <t>Des formations ou des cours de mis à niveau sur la rage pour les professionnels de la santé humaine et animale ont été initiés</t>
  </si>
  <si>
    <t>Des formations pour le personnel de la santé humaine et animale ont été réalisées dans la plupart des régions du pays</t>
  </si>
  <si>
    <t>Education sur la prévention et le contrôle des communautés, y compris la prévention et la gestion des morsures de chien morsure de chien rage ont été explorées</t>
  </si>
  <si>
    <t>Principaux messages et public visé</t>
  </si>
  <si>
    <t>Principaux messages, le public et les zones couvertes destinées</t>
  </si>
  <si>
    <t>Domaines couverts</t>
  </si>
  <si>
    <t>Agences de stagiaires</t>
  </si>
  <si>
    <t>PRÉVENTION ET DE CONTRÔLE</t>
  </si>
  <si>
    <t>Vaccins humains</t>
  </si>
  <si>
    <t>Vaccins du chien</t>
  </si>
  <si>
    <t>Riposte à l'épidémie et d'autres activités de contrôle de la rage</t>
  </si>
  <si>
    <t>Des vaccins pour la prophylaxie de la rage humaine sont disponibles dans le pays</t>
  </si>
  <si>
    <t>Une première évaluation sur l'accès aux PPE (Prophylaxie Post-Exposition) (et PrEP (Prophylaxie Pré-Exposition)) a été réalisée</t>
  </si>
  <si>
    <t>Des vaccins antirabiques humains pré-qualifiés par l'OMS sont disponibles et accessibles dans la majorité des régions du pays</t>
  </si>
  <si>
    <t>L’utilisation des produits biologiques humains non pré-qualifiés par l'OMS est abandonné (par exemple des vaccins de tissu nerveux, des vaccins de mauvaise qualité)</t>
  </si>
  <si>
    <t xml:space="preserve">L’approvisionnement et l’accès des vaccins antirabiques humains, pré-qualifiés par l’OMS pour la PrEP (Prophylaxie Pré-Exposition), est assuré pour les professionnels à risque dans les zones pilotes </t>
  </si>
  <si>
    <t>La disposition et l’accès aux PrEP (Prophylaxie Pré-Exposition) et PPE (Prophylaxie Post-Exposition) pré-qualifiées par l’OMS sont assurés dans tout le pays pour les personnes à risque élevé et exposées</t>
  </si>
  <si>
    <t>Des protocoles modifiés pour l'administration de la PPE (Prophylaxie Post-Exposition) sont mis en œuvre pour les zones exemptes de rage</t>
  </si>
  <si>
    <t>Les vaccins antirabiques pour les chiens sont disponibles dans le pays</t>
  </si>
  <si>
    <t>La vaccination des chiens dans certaines régions ou zones pilotes du pays a commencé</t>
  </si>
  <si>
    <t>Seuls des vaccins canins de qualité selon les standards l’OIE sont utilisées</t>
  </si>
  <si>
    <t>Des campagnes de vaccination des chiens sont régulièrement mises en œuvre, en réponse aux cas humains et aux épidémies animales</t>
  </si>
  <si>
    <t>Des campagnes de vaccination de masse des chiens (au moins 70% de la population canine) sont menées conformément à la stratégie nationale de lutte contre la rage</t>
  </si>
  <si>
    <t>Des enquêtes post-vaccinales sont effectuées pour évaluer la couverture vaccinale des chiens</t>
  </si>
  <si>
    <t>Des campagnes de vaccination de chiens sont maintenues dans les zones où la rage canine est toujours présente, et où cela est justifié autrement (par exemple par le risque d'introduction)</t>
  </si>
  <si>
    <t>Sur la base d'une évaluation des risques, des campagnes de vaccination des chiens sont maintenues si cela est justifié</t>
  </si>
  <si>
    <t>Méthode d'évaluation</t>
  </si>
  <si>
    <t>Zones disponibles et accessibles</t>
  </si>
  <si>
    <t>Décrivez brièvement enquête post-vaccination</t>
  </si>
  <si>
    <t>Autres activités de contrôle de la rage tels que IBCM (Integrated Bite Case Management; Gestion intégrée de cas de morsure), la gestion de la population canine ont été mises en œuvre (au moins dans les zones pilotes)</t>
  </si>
  <si>
    <t>Des SOPs (Modes opératoires standardisés) de l’IBCM (Integrated Bite Case Management; Gestion intégrée de cas de morsure) sont conclus, y compris le partage d’informations entre les secteurs</t>
  </si>
  <si>
    <t>Des SOPs (Modes opératoires standardisés) pour l'observation des chiens responsables d’incidents des morsures sont disponibles</t>
  </si>
  <si>
    <t>La capacité à mener des enquêtes de terrain et à répondre aux épidémies de rage animale et humaine à temps est présente dans tout le pays</t>
  </si>
  <si>
    <t>Suffisamment d’installations pour les observations des chiens suspects de  rage existent, et elles sont conformes aux réglementations internationales de protection des animaux</t>
  </si>
  <si>
    <t>Identification des zones exemptes de rage par l'absence de cas de rage (variante canine) pendant au moins une période de 2 ans</t>
  </si>
  <si>
    <t>Liberté de rage transmise par les chiens durant au moins 2 ans dans tout le pays, prouvé par l'absence de cas de rage canine (variante canine)</t>
  </si>
  <si>
    <t>Prendre des mesures pour la prévention de la réintroduction de la rage dans les zones exemptes de rage, y compris le dialogue avec les pays voisins.</t>
  </si>
  <si>
    <t>Intervention d'urgence / plan d'urgence pour tous les cas de rage animale impliquant une variante canine qui ont évolué pendant la préparation de la phase post-élimination</t>
  </si>
  <si>
    <t>Maintien de la capacité pour répondre aux épidémies et la réintroduction de la rage</t>
  </si>
  <si>
    <t>Secteurs impliqués</t>
  </si>
  <si>
    <t>Agences du personnel impliqué dans les enquêtes sur le terrain et la réponse aux épidémies</t>
  </si>
  <si>
    <t>Nombre et emplacement des installations</t>
  </si>
  <si>
    <t>Les noms des zones indemnes de rage</t>
  </si>
  <si>
    <t xml:space="preserve">LES QUESTIONS RELATIVES Á LA GESTION DE LA POPULATION CANINE </t>
  </si>
  <si>
    <t>La collaboration intersectorielle</t>
  </si>
  <si>
    <t>QUESTIONS TRANSVERSALES</t>
  </si>
  <si>
    <t>Le programme national</t>
  </si>
  <si>
    <t>Les résultats des échantillons de la rage sont partagés d’une manière appropriée avec les autorités locales et nationales</t>
  </si>
  <si>
    <t>Les acteurs principaux et nationaux de la prévention et du contrôle de la rage ont été identifiés</t>
  </si>
  <si>
    <t>Les consultations des acteurs ont eu lieu dans les 3 dernières années</t>
  </si>
  <si>
    <t>Un groupe de travail intersectoriel ou un comité au niveau local ou national a été créé et se réunit au moins deux fois par an</t>
  </si>
  <si>
    <t>Des mécanismes de collaboration intersectorielle régulière sont en place et ont été réalisés</t>
  </si>
  <si>
    <t>La contribution et le rôle du secteur privé a été clarifié et partagé avec d'autres parties prenantes</t>
  </si>
  <si>
    <t>Institutions des membres du groupe de travail</t>
  </si>
  <si>
    <t>Agences impliquées</t>
  </si>
  <si>
    <t>Agences de membres du groupe de travail</t>
  </si>
  <si>
    <t>Basé sur l'expérience de la zone pilote, un plan d'action de lutte contre la rage à court terme a été élaboré et approuvé par les parties prenantes au niveau local / national</t>
  </si>
  <si>
    <t>Les mécanismes de mobilisation de fonds d'urgence en cas d'épidémie ont été identifiés</t>
  </si>
  <si>
    <t>Une stratégie nationale et un programme de prévention de rage, de contrôle et d'élimination éventuelle ont été rédigés et partagés avec toutes les parties prenantes</t>
  </si>
  <si>
    <t>Pour favoriser la stratégie et le programme nationaux de lutte contre la rage, les ressources du gouvernement ont été identifiées et allouées</t>
  </si>
  <si>
    <t>Améliorer la stratégie nationale basée sur la surveillance et l'évaluation</t>
  </si>
  <si>
    <t>Les mesures d'inspection vétérinaire de frontière et des mesures de quarantaine sont pleinement mises en œuvre conformément à la réglementation nationale</t>
  </si>
  <si>
    <t>RÉSUMÉ DES ACTIVITÉS</t>
  </si>
  <si>
    <t>ACTIVITES ENCORE EN COURS</t>
  </si>
  <si>
    <t>ACTIVITES TERMINEES</t>
  </si>
  <si>
    <t>STAGE TERMINÉ?</t>
  </si>
  <si>
    <t>ACTIVITÉS CRITIQUES ATTEINDRE</t>
  </si>
  <si>
    <r>
      <t xml:space="preserve">LÉGISLATION
</t>
    </r>
    <r>
      <rPr>
        <sz val="11"/>
        <color theme="1"/>
        <rFont val="Calibri"/>
        <family val="2"/>
        <scheme val="minor"/>
      </rPr>
      <t xml:space="preserve">  </t>
    </r>
    <r>
      <rPr>
        <i/>
        <sz val="11"/>
        <color theme="1"/>
        <rFont val="Calibri"/>
        <family val="2"/>
        <scheme val="minor"/>
      </rPr>
      <t xml:space="preserve">  Nombre total d'activités = 15</t>
    </r>
  </si>
  <si>
    <r>
      <t xml:space="preserve">COLLECTE DE DONNÉES ET ANALYSE
</t>
    </r>
    <r>
      <rPr>
        <i/>
        <sz val="11"/>
        <color theme="1"/>
        <rFont val="Calibri"/>
        <family val="2"/>
        <scheme val="minor"/>
      </rPr>
      <t xml:space="preserve">    Nombre total d'activités = 18</t>
    </r>
  </si>
  <si>
    <r>
      <t xml:space="preserve">DIAGNOSTIC DE LABORATOIRE
</t>
    </r>
    <r>
      <rPr>
        <sz val="11"/>
        <color theme="1"/>
        <rFont val="Calibri"/>
        <family val="2"/>
        <scheme val="minor"/>
      </rPr>
      <t xml:space="preserve">    </t>
    </r>
    <r>
      <rPr>
        <i/>
        <sz val="11"/>
        <color theme="1"/>
        <rFont val="Calibri"/>
        <family val="2"/>
        <scheme val="minor"/>
      </rPr>
      <t>Nombre total d'activités = 11</t>
    </r>
  </si>
  <si>
    <r>
      <t xml:space="preserve">PRÉVENTION ET DE CONTRÔLE
</t>
    </r>
    <r>
      <rPr>
        <i/>
        <sz val="11"/>
        <color theme="1"/>
        <rFont val="Calibri"/>
        <family val="2"/>
        <scheme val="minor"/>
      </rPr>
      <t xml:space="preserve">    Nombre total d'activités = 25</t>
    </r>
  </si>
  <si>
    <r>
      <t xml:space="preserve">QUESTIONS TRANSVERSALES
</t>
    </r>
    <r>
      <rPr>
        <sz val="11"/>
        <color theme="1"/>
        <rFont val="Calibri"/>
        <family val="2"/>
        <scheme val="minor"/>
      </rPr>
      <t xml:space="preserve">       </t>
    </r>
    <r>
      <rPr>
        <i/>
        <sz val="11"/>
        <color theme="1"/>
        <rFont val="Calibri"/>
        <family val="2"/>
        <scheme val="minor"/>
      </rPr>
      <t xml:space="preserve"> Nombre total d'activités = 12</t>
    </r>
  </si>
  <si>
    <t>ÉTAPE SOMMAIRE</t>
  </si>
  <si>
    <t>Nombre total d'activités = 7
Les activités critiques = 4</t>
  </si>
  <si>
    <t>Nombre total d'activités = 32
Les activités critiques = 10</t>
  </si>
  <si>
    <t>Nombre total d'activités = 27
Les activités critiques = 8</t>
  </si>
  <si>
    <t>Nombre total d'activités = 18
Les activités critiques = 9</t>
  </si>
  <si>
    <t>Nombre total d'activités = 12
Les activités critiques = 7</t>
  </si>
  <si>
    <t>Nombre total d'activités = 7
Les activités critiques = 7</t>
  </si>
  <si>
    <t>En attendant</t>
  </si>
  <si>
    <t>Des campagnes de sensibilisation de la population ont été adaptées aux groupes cibles spécifiques (par exemple les leaders de la communauté, les autorités, les professionnels de la santé et les activistes de la journée mondiale de la rage)</t>
  </si>
  <si>
    <t>Les cadres juridiques avec des spécifications relatives à la vaccination obligatoire des chiens et le mouvement international des animaux ont été mis à jour</t>
  </si>
  <si>
    <t>LEG/iec</t>
  </si>
  <si>
    <t>EN ATTENDANT</t>
  </si>
  <si>
    <r>
      <t>Termin</t>
    </r>
    <r>
      <rPr>
        <b/>
        <sz val="10"/>
        <color theme="1"/>
        <rFont val="Calibri"/>
        <family val="2"/>
      </rPr>
      <t>é</t>
    </r>
  </si>
  <si>
    <t>Terminé</t>
  </si>
  <si>
    <r>
      <t xml:space="preserve">INFORMATION, ÉDUCATION ET LA COMMUNICATION
</t>
    </r>
    <r>
      <rPr>
        <i/>
        <sz val="11"/>
        <color theme="1"/>
        <rFont val="Calibri"/>
        <family val="2"/>
        <scheme val="minor"/>
      </rPr>
      <t xml:space="preserve">    Nombre total d'activités = 17</t>
    </r>
  </si>
  <si>
    <r>
      <t xml:space="preserve">LES QUESTIONS RELATIVES Á LA GESTION DE LA POPULATION CANINE
   </t>
    </r>
    <r>
      <rPr>
        <i/>
        <sz val="11"/>
        <color theme="1"/>
        <rFont val="Calibri"/>
        <family val="2"/>
        <scheme val="minor"/>
      </rPr>
      <t xml:space="preserve"> Nombre total d'activités = 5</t>
    </r>
  </si>
  <si>
    <t>Côte d'Ivoire</t>
  </si>
  <si>
    <t xml:space="preserve">Direction des Services vétérinaires(DSV)  </t>
  </si>
  <si>
    <t>Mise à disposition des moyen pour la mise en œuvre</t>
  </si>
  <si>
    <t xml:space="preserve"> A actualiser</t>
  </si>
  <si>
    <t xml:space="preserve">Mesure spéciale en cas de rage </t>
  </si>
  <si>
    <t>En cours d'exécution (Cf base de données projet rage GAVI)</t>
  </si>
  <si>
    <t>renforcement du réseau dans le cadre du projet rage GAVI</t>
  </si>
  <si>
    <t>test rapide en expérimentation dans les sites pilotes du projet GAVI</t>
  </si>
  <si>
    <t>En cours d'exécution dans le cadre du projet rage GAVI</t>
  </si>
  <si>
    <t>LANADA/ IPCI (test utilisé: IFT et PCR)</t>
  </si>
  <si>
    <t>DSV, INHP ,CSRS, LANADA, IPCI, Université de Bouaké, les autorités locales</t>
  </si>
  <si>
    <t>Exécution en cours dans le cadre du projet GAVI</t>
  </si>
  <si>
    <t xml:space="preserve">Les chasseurs </t>
  </si>
  <si>
    <t>Plan en cours de production</t>
  </si>
  <si>
    <t>Sensibilisation : en milieu scolaire, les laeders communautaires, les professionnels de la santé, ….</t>
  </si>
  <si>
    <t>Prix du meilleur proprietaire de chien</t>
  </si>
  <si>
    <t>prix du meilleur propriétaire de chien</t>
  </si>
  <si>
    <t>dans toutes les localités du pays:' Tous ensemble luttons contre la rage', 'La rage tue', 'Vaccinons nos chiens', …..</t>
  </si>
  <si>
    <t>propriétaires d'animaux, les professionnel de la santé animale et humaine, les leaders communautaires, les autorités administratives: :Tous ensemble luttons contre la rage', 'La rage tue', 'Vaccinons nos chiens', …..</t>
  </si>
  <si>
    <t>INHP, CSRS, DSV, LANADA, IPCI</t>
  </si>
  <si>
    <t>En cours avec la mise en œuvre du projet GAVI</t>
  </si>
  <si>
    <t>sur toute l'étendue du térritoire</t>
  </si>
  <si>
    <t>Difficulté de mobilisation des moyens</t>
  </si>
  <si>
    <t>Existance de stratégie sectorielle</t>
  </si>
  <si>
    <t>Financement sectoriel</t>
  </si>
  <si>
    <t>vétérinaire</t>
  </si>
  <si>
    <t>Service vétérinaire central</t>
  </si>
  <si>
    <t>Institut Nationale d'Hygiène (INHP)</t>
  </si>
  <si>
    <t>santé Publique</t>
  </si>
  <si>
    <t>Prise en charge PEP et surveillance rage humaine</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</si>
</sst>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_(* \(#,##0.00\);_(* &quot;-&quot;??_);_(@_)"/>
    <numFmt numFmtId="165" formatCode="[$-3409]dd\ mmmm\,\ yyyy;@"/>
  </numFmts>
  <fonts count="37"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u/>
      <sz val="11"/>
      <name val="Calibri"/>
      <family val="2"/>
      <scheme val="minor"/>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b/>
      <sz val="13"/>
      <color theme="1"/>
      <name val="Calibri"/>
      <family val="2"/>
      <scheme val="minor"/>
    </font>
    <font>
      <sz val="14"/>
      <color theme="1"/>
      <name val="Calibri"/>
      <family val="2"/>
      <scheme val="minor"/>
    </font>
    <font>
      <b/>
      <sz val="22"/>
      <color theme="1"/>
      <name val="Calibri"/>
      <family val="2"/>
      <scheme val="minor"/>
    </font>
    <font>
      <sz val="11"/>
      <name val="Calibri"/>
      <family val="2"/>
    </font>
    <font>
      <b/>
      <sz val="12"/>
      <name val="Calibri"/>
      <family val="2"/>
      <scheme val="minor"/>
    </font>
    <font>
      <sz val="10"/>
      <color rgb="FFFF0000"/>
      <name val="Calibri"/>
      <family val="2"/>
      <scheme val="minor"/>
    </font>
    <font>
      <sz val="10"/>
      <color theme="1"/>
      <name val="Symbol"/>
      <family val="1"/>
      <charset val="2"/>
    </font>
    <font>
      <sz val="10"/>
      <color theme="1"/>
      <name val="Times New Roman"/>
      <family val="1"/>
    </font>
    <font>
      <b/>
      <sz val="26"/>
      <color theme="0"/>
      <name val="Calibri"/>
      <family val="2"/>
      <scheme val="minor"/>
    </font>
    <font>
      <b/>
      <sz val="16"/>
      <color theme="0"/>
      <name val="Calibri"/>
      <family val="2"/>
      <scheme val="minor"/>
    </font>
    <font>
      <sz val="10"/>
      <name val="Calibri"/>
      <family val="2"/>
      <scheme val="minor"/>
    </font>
    <font>
      <sz val="11"/>
      <color rgb="FF000000"/>
      <name val="Calibri"/>
      <family val="2"/>
      <scheme val="minor"/>
    </font>
    <font>
      <u/>
      <sz val="11"/>
      <color theme="10"/>
      <name val="Calibri"/>
      <family val="2"/>
      <scheme val="minor"/>
    </font>
    <font>
      <u/>
      <sz val="11"/>
      <color theme="11"/>
      <name val="Calibri"/>
      <family val="2"/>
      <scheme val="minor"/>
    </font>
    <font>
      <b/>
      <u/>
      <sz val="12"/>
      <color rgb="FF000000"/>
      <name val="Calibri"/>
      <family val="2"/>
      <scheme val="minor"/>
    </font>
    <font>
      <b/>
      <sz val="10"/>
      <color theme="1"/>
      <name val="Calibri"/>
      <family val="2"/>
    </font>
  </fonts>
  <fills count="9">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1" tint="0.249977111117893"/>
        <bgColor indexed="64"/>
      </patternFill>
    </fill>
  </fills>
  <borders count="6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style="thin">
        <color auto="1"/>
      </right>
      <top/>
      <bottom style="thin">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right/>
      <top style="thin">
        <color auto="1"/>
      </top>
      <bottom style="medium">
        <color auto="1"/>
      </bottom>
      <diagonal/>
    </border>
    <border>
      <left/>
      <right/>
      <top style="medium">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s>
  <cellStyleXfs count="54">
    <xf numFmtId="0" fontId="0" fillId="0" borderId="0"/>
    <xf numFmtId="164" fontId="1"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cellStyleXfs>
  <cellXfs count="30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5" fillId="0" borderId="0" xfId="0" applyFont="1"/>
    <xf numFmtId="0" fontId="0" fillId="0" borderId="0" xfId="0" applyAlignment="1">
      <alignment horizontal="left" vertical="top" wrapText="1"/>
    </xf>
    <xf numFmtId="0" fontId="3" fillId="0" borderId="0" xfId="0" applyFont="1"/>
    <xf numFmtId="0" fontId="5" fillId="0" borderId="0" xfId="0" applyFont="1" applyAlignment="1">
      <alignment wrapText="1"/>
    </xf>
    <xf numFmtId="0" fontId="8"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0" xfId="0" applyBorder="1" applyAlignment="1">
      <alignment horizontal="center" vertical="center" wrapText="1"/>
    </xf>
    <xf numFmtId="0" fontId="10" fillId="0" borderId="0" xfId="0" applyFont="1" applyAlignment="1">
      <alignment vertical="top" wrapText="1"/>
    </xf>
    <xf numFmtId="0" fontId="13" fillId="0" borderId="0" xfId="0" applyFont="1" applyAlignment="1">
      <alignment horizontal="center" vertical="center" wrapText="1"/>
    </xf>
    <xf numFmtId="0" fontId="0" fillId="0" borderId="0" xfId="0" applyAlignment="1">
      <alignment vertical="top" wrapText="1"/>
    </xf>
    <xf numFmtId="0" fontId="5" fillId="0" borderId="0" xfId="0" applyFont="1" applyAlignment="1">
      <alignment vertical="top" wrapText="1"/>
    </xf>
    <xf numFmtId="0" fontId="0" fillId="0" borderId="0"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9"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6" fillId="3" borderId="10" xfId="0" applyFont="1" applyFill="1" applyBorder="1" applyAlignment="1">
      <alignment vertical="center"/>
    </xf>
    <xf numFmtId="0" fontId="18" fillId="0" borderId="0" xfId="0" applyFont="1" applyAlignment="1">
      <alignment vertical="top"/>
    </xf>
    <xf numFmtId="0" fontId="18"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3" fillId="3" borderId="1" xfId="0" applyFont="1" applyFill="1" applyBorder="1" applyAlignment="1">
      <alignment horizontal="center" vertical="center" wrapText="1"/>
    </xf>
    <xf numFmtId="0" fontId="3" fillId="0" borderId="0" xfId="0" applyFont="1" applyFill="1" applyAlignment="1">
      <alignment horizontal="center" vertical="center"/>
    </xf>
    <xf numFmtId="0" fontId="15" fillId="0" borderId="14" xfId="0" applyFont="1" applyBorder="1" applyAlignment="1">
      <alignment horizontal="center" vertical="top" wrapText="1"/>
    </xf>
    <xf numFmtId="0" fontId="14" fillId="0" borderId="14" xfId="0" applyFont="1" applyBorder="1" applyAlignment="1">
      <alignment horizontal="center" vertical="top" wrapText="1"/>
    </xf>
    <xf numFmtId="0" fontId="14" fillId="0" borderId="15" xfId="0" applyFont="1" applyBorder="1" applyAlignment="1">
      <alignment horizontal="center" vertical="top" wrapText="1"/>
    </xf>
    <xf numFmtId="0" fontId="9"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9"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19" fillId="0" borderId="13" xfId="0" applyFont="1" applyBorder="1" applyAlignment="1">
      <alignment horizontal="center" vertical="top" wrapText="1"/>
    </xf>
    <xf numFmtId="0" fontId="19" fillId="0" borderId="2" xfId="0" applyFont="1" applyBorder="1" applyAlignment="1">
      <alignment horizontal="center" vertical="top" wrapText="1"/>
    </xf>
    <xf numFmtId="0" fontId="0" fillId="0" borderId="0" xfId="0" applyFont="1" applyAlignment="1">
      <alignment horizontal="center"/>
    </xf>
    <xf numFmtId="0" fontId="20" fillId="0" borderId="0" xfId="0" applyFont="1" applyAlignment="1">
      <alignment horizontal="left" vertical="center" indent="2"/>
    </xf>
    <xf numFmtId="0" fontId="17" fillId="7" borderId="10" xfId="0" applyFont="1" applyFill="1" applyBorder="1" applyAlignment="1">
      <alignment horizontal="center" vertical="center" wrapText="1"/>
    </xf>
    <xf numFmtId="165" fontId="3" fillId="7" borderId="12" xfId="0" applyNumberFormat="1" applyFont="1" applyFill="1" applyBorder="1" applyAlignment="1">
      <alignment horizontal="center" vertical="center"/>
    </xf>
    <xf numFmtId="0" fontId="0" fillId="0" borderId="0" xfId="0" applyAlignment="1">
      <alignment horizontal="center"/>
    </xf>
    <xf numFmtId="0" fontId="0" fillId="0" borderId="0" xfId="0" applyBorder="1" applyAlignment="1">
      <alignment horizontal="left" vertical="top"/>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21" fillId="0" borderId="0" xfId="0" applyFont="1"/>
    <xf numFmtId="0" fontId="22" fillId="0" borderId="0" xfId="0" applyFont="1"/>
    <xf numFmtId="0" fontId="17" fillId="0" borderId="14" xfId="0" applyFont="1" applyBorder="1" applyAlignment="1">
      <alignment horizontal="center" vertical="center"/>
    </xf>
    <xf numFmtId="0" fontId="17" fillId="0" borderId="21" xfId="0" applyFont="1" applyBorder="1" applyAlignment="1">
      <alignment horizontal="center" vertical="center"/>
    </xf>
    <xf numFmtId="0" fontId="17" fillId="0" borderId="23" xfId="0" applyFont="1" applyBorder="1" applyAlignment="1">
      <alignment horizontal="center" vertical="center"/>
    </xf>
    <xf numFmtId="0" fontId="18" fillId="0" borderId="27"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0" fillId="0" borderId="0" xfId="0" applyFont="1" applyFill="1" applyAlignment="1" applyProtection="1">
      <alignment horizontal="left" vertical="top" wrapText="1"/>
      <protection locked="0"/>
    </xf>
    <xf numFmtId="0" fontId="0" fillId="0" borderId="0" xfId="0" applyFont="1" applyFill="1" applyAlignment="1">
      <alignment horizontal="center" vertical="center"/>
    </xf>
    <xf numFmtId="0" fontId="6" fillId="0" borderId="1" xfId="0" applyFont="1" applyBorder="1" applyAlignment="1">
      <alignment horizontal="left" vertical="top" wrapText="1"/>
    </xf>
    <xf numFmtId="0" fontId="0" fillId="4" borderId="1" xfId="0"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0" fillId="4" borderId="1" xfId="0" applyFill="1" applyBorder="1" applyAlignment="1" applyProtection="1">
      <alignment horizontal="left" vertical="center" wrapText="1"/>
      <protection locked="0"/>
    </xf>
    <xf numFmtId="0" fontId="25" fillId="3" borderId="34" xfId="0" applyFont="1" applyFill="1" applyBorder="1" applyAlignment="1">
      <alignment horizontal="center" vertical="center" wrapText="1"/>
    </xf>
    <xf numFmtId="0" fontId="18" fillId="0" borderId="29" xfId="0" applyFont="1" applyBorder="1" applyAlignment="1">
      <alignment horizontal="center" vertical="center"/>
    </xf>
    <xf numFmtId="0" fontId="0" fillId="0" borderId="41" xfId="0" applyFont="1" applyBorder="1" applyAlignment="1">
      <alignment vertical="center" wrapText="1"/>
    </xf>
    <xf numFmtId="0" fontId="25" fillId="3" borderId="35" xfId="0" applyFont="1" applyFill="1" applyBorder="1" applyAlignment="1">
      <alignment horizontal="center" vertical="center" wrapText="1"/>
    </xf>
    <xf numFmtId="0" fontId="0" fillId="0" borderId="0" xfId="0" applyAlignment="1">
      <alignment horizontal="left"/>
    </xf>
    <xf numFmtId="0" fontId="19" fillId="0" borderId="30" xfId="0" applyFont="1" applyBorder="1" applyAlignment="1">
      <alignment horizontal="center" vertical="center"/>
    </xf>
    <xf numFmtId="0" fontId="19" fillId="0" borderId="31" xfId="0" applyFont="1" applyBorder="1" applyAlignment="1">
      <alignment horizontal="center" vertical="center"/>
    </xf>
    <xf numFmtId="0" fontId="19" fillId="0" borderId="39" xfId="0" applyFont="1" applyBorder="1" applyAlignment="1">
      <alignment horizontal="center" vertical="center"/>
    </xf>
    <xf numFmtId="0" fontId="19" fillId="0" borderId="40" xfId="0" applyFont="1" applyBorder="1" applyAlignment="1">
      <alignment horizontal="center" vertical="center"/>
    </xf>
    <xf numFmtId="0" fontId="19" fillId="0" borderId="26" xfId="0" applyFont="1" applyBorder="1" applyAlignment="1">
      <alignment horizontal="center" vertical="center"/>
    </xf>
    <xf numFmtId="0" fontId="10" fillId="0" borderId="0" xfId="0" applyFont="1"/>
    <xf numFmtId="0" fontId="10" fillId="0" borderId="0" xfId="0" applyFont="1" applyAlignment="1">
      <alignment horizontal="left" vertical="top"/>
    </xf>
    <xf numFmtId="0" fontId="26" fillId="0" borderId="0" xfId="0" applyFont="1" applyAlignment="1">
      <alignment horizontal="left" vertical="top"/>
    </xf>
    <xf numFmtId="0" fontId="10" fillId="0" borderId="0" xfId="0" applyFont="1" applyAlignment="1">
      <alignment horizontal="left"/>
    </xf>
    <xf numFmtId="0" fontId="10" fillId="0" borderId="0" xfId="0" applyFont="1" applyAlignment="1">
      <alignment horizontal="left" vertical="center"/>
    </xf>
    <xf numFmtId="0" fontId="27" fillId="0" borderId="0" xfId="0" applyFont="1" applyAlignment="1">
      <alignment horizontal="left" vertical="center"/>
    </xf>
    <xf numFmtId="0" fontId="14" fillId="0" borderId="0" xfId="0" applyFont="1"/>
    <xf numFmtId="0" fontId="0" fillId="0" borderId="0" xfId="0" applyFill="1" applyBorder="1"/>
    <xf numFmtId="0" fontId="5" fillId="0" borderId="0" xfId="0" applyFont="1" applyFill="1" applyBorder="1" applyAlignment="1">
      <alignment horizontal="left" vertical="top"/>
    </xf>
    <xf numFmtId="0" fontId="5" fillId="0" borderId="0" xfId="0" applyFont="1" applyBorder="1" applyAlignment="1">
      <alignment horizontal="left" vertical="top"/>
    </xf>
    <xf numFmtId="0" fontId="24" fillId="0" borderId="0" xfId="0" applyFont="1" applyFill="1" applyBorder="1" applyAlignment="1">
      <alignment horizontal="left" vertical="top"/>
    </xf>
    <xf numFmtId="0" fontId="0" fillId="0" borderId="0" xfId="0" applyFont="1" applyFill="1" applyBorder="1" applyAlignment="1">
      <alignment horizontal="left" vertical="top"/>
    </xf>
    <xf numFmtId="0" fontId="0" fillId="0" borderId="0" xfId="0" pivotButton="1"/>
    <xf numFmtId="0" fontId="0" fillId="0" borderId="0" xfId="0" applyNumberFormat="1"/>
    <xf numFmtId="0" fontId="23" fillId="0" borderId="42" xfId="0" applyFont="1" applyFill="1" applyBorder="1" applyAlignment="1">
      <alignment horizontal="center" vertical="center"/>
    </xf>
    <xf numFmtId="0" fontId="23" fillId="0" borderId="0" xfId="0" applyFont="1" applyFill="1" applyBorder="1" applyAlignment="1">
      <alignment horizontal="center" vertical="center"/>
    </xf>
    <xf numFmtId="0" fontId="0" fillId="0" borderId="0" xfId="0" applyFill="1"/>
    <xf numFmtId="0" fontId="3" fillId="0" borderId="0" xfId="0" applyFont="1" applyFill="1" applyBorder="1" applyAlignment="1">
      <alignment horizontal="left" vertical="center"/>
    </xf>
    <xf numFmtId="0" fontId="0" fillId="0" borderId="0" xfId="0" applyFill="1" applyBorder="1" applyAlignment="1"/>
    <xf numFmtId="0" fontId="29" fillId="0" borderId="0" xfId="0" applyFont="1" applyFill="1" applyBorder="1" applyAlignment="1">
      <alignment horizontal="center" vertical="center"/>
    </xf>
    <xf numFmtId="0" fontId="17" fillId="0" borderId="17" xfId="0" applyFont="1" applyBorder="1" applyAlignment="1">
      <alignment wrapText="1"/>
    </xf>
    <xf numFmtId="0" fontId="17" fillId="0" borderId="22" xfId="0" applyFont="1" applyBorder="1" applyAlignment="1">
      <alignment horizontal="center" vertical="center"/>
    </xf>
    <xf numFmtId="0" fontId="3" fillId="0" borderId="10" xfId="0" applyFont="1" applyBorder="1" applyAlignment="1">
      <alignment horizontal="center"/>
    </xf>
    <xf numFmtId="0" fontId="0" fillId="0" borderId="2" xfId="0" quotePrefix="1" applyBorder="1" applyAlignment="1">
      <alignment horizontal="center"/>
    </xf>
    <xf numFmtId="0" fontId="0" fillId="0" borderId="5" xfId="0" quotePrefix="1" applyBorder="1" applyAlignment="1">
      <alignment horizontal="center"/>
    </xf>
    <xf numFmtId="0" fontId="0" fillId="0" borderId="7" xfId="0" quotePrefix="1" applyBorder="1" applyAlignment="1">
      <alignment horizontal="center"/>
    </xf>
    <xf numFmtId="0" fontId="3" fillId="0" borderId="1" xfId="0" applyFont="1" applyBorder="1" applyAlignment="1">
      <alignment horizontal="center"/>
    </xf>
    <xf numFmtId="0" fontId="0" fillId="0" borderId="13" xfId="0" applyBorder="1"/>
    <xf numFmtId="0" fontId="0" fillId="0" borderId="14" xfId="0" applyBorder="1"/>
    <xf numFmtId="0" fontId="0" fillId="0" borderId="15" xfId="0" applyBorder="1"/>
    <xf numFmtId="0" fontId="5" fillId="0" borderId="43" xfId="0" applyFont="1" applyBorder="1" applyAlignment="1">
      <alignment horizontal="center" vertical="center"/>
    </xf>
    <xf numFmtId="0" fontId="2" fillId="0" borderId="45" xfId="0" applyFont="1" applyBorder="1" applyAlignment="1">
      <alignment horizontal="left" vertical="top" wrapText="1"/>
    </xf>
    <xf numFmtId="0" fontId="0" fillId="4" borderId="46" xfId="0" applyFill="1" applyBorder="1" applyAlignment="1" applyProtection="1">
      <alignment horizontal="center" vertical="center" wrapText="1"/>
      <protection locked="0"/>
    </xf>
    <xf numFmtId="0" fontId="0" fillId="4" borderId="44" xfId="0" applyFill="1" applyBorder="1" applyAlignment="1" applyProtection="1">
      <alignment horizontal="left" vertical="center" wrapText="1"/>
      <protection locked="0"/>
    </xf>
    <xf numFmtId="0" fontId="5" fillId="0" borderId="47" xfId="0" applyFont="1" applyBorder="1" applyAlignment="1">
      <alignment horizontal="center" vertical="center"/>
    </xf>
    <xf numFmtId="0" fontId="0" fillId="4" borderId="50" xfId="0" applyFill="1" applyBorder="1" applyAlignment="1" applyProtection="1">
      <alignment horizontal="center" vertical="center" wrapText="1"/>
      <protection locked="0"/>
    </xf>
    <xf numFmtId="0" fontId="0" fillId="4" borderId="48" xfId="0" applyFill="1" applyBorder="1" applyAlignment="1" applyProtection="1">
      <alignment horizontal="left" vertical="center" wrapText="1"/>
      <protection locked="0"/>
    </xf>
    <xf numFmtId="0" fontId="5" fillId="0" borderId="51" xfId="0" applyFont="1" applyBorder="1" applyAlignment="1">
      <alignment horizontal="center" vertical="center"/>
    </xf>
    <xf numFmtId="0" fontId="0" fillId="4" borderId="54" xfId="0" applyFill="1" applyBorder="1" applyAlignment="1" applyProtection="1">
      <alignment horizontal="center" vertical="center" wrapText="1"/>
      <protection locked="0"/>
    </xf>
    <xf numFmtId="0" fontId="0" fillId="4" borderId="52" xfId="0" applyFill="1" applyBorder="1" applyAlignment="1" applyProtection="1">
      <alignment horizontal="left" vertical="center" wrapText="1"/>
      <protection locked="0"/>
    </xf>
    <xf numFmtId="0" fontId="2" fillId="0" borderId="53" xfId="0" applyFont="1" applyBorder="1" applyAlignment="1">
      <alignment horizontal="left" vertical="top" wrapText="1"/>
    </xf>
    <xf numFmtId="0" fontId="0" fillId="0" borderId="50" xfId="0" applyFont="1" applyBorder="1" applyAlignment="1">
      <alignment horizontal="left" vertical="top" wrapText="1"/>
    </xf>
    <xf numFmtId="0" fontId="5" fillId="0" borderId="46" xfId="0" applyFont="1" applyBorder="1" applyAlignment="1">
      <alignment horizontal="center" vertical="center"/>
    </xf>
    <xf numFmtId="0" fontId="0" fillId="0" borderId="46" xfId="0" applyFont="1" applyBorder="1" applyAlignment="1">
      <alignment horizontal="left" vertical="top" wrapText="1"/>
    </xf>
    <xf numFmtId="0" fontId="0" fillId="4" borderId="46" xfId="0" applyFill="1" applyBorder="1" applyAlignment="1" applyProtection="1">
      <alignment horizontal="left" vertical="center" wrapText="1"/>
      <protection locked="0"/>
    </xf>
    <xf numFmtId="0" fontId="5" fillId="0" borderId="50" xfId="0" applyFont="1" applyBorder="1" applyAlignment="1">
      <alignment horizontal="center" vertical="center"/>
    </xf>
    <xf numFmtId="0" fontId="0" fillId="4" borderId="50" xfId="0" applyFill="1" applyBorder="1" applyAlignment="1" applyProtection="1">
      <alignment horizontal="left" vertical="center" wrapText="1"/>
      <protection locked="0"/>
    </xf>
    <xf numFmtId="0" fontId="5" fillId="0" borderId="54" xfId="0" applyFont="1" applyBorder="1" applyAlignment="1">
      <alignment horizontal="center" vertical="center"/>
    </xf>
    <xf numFmtId="0" fontId="0" fillId="0" borderId="54" xfId="0" applyFont="1" applyBorder="1" applyAlignment="1">
      <alignment horizontal="left" vertical="top" wrapText="1"/>
    </xf>
    <xf numFmtId="0" fontId="0" fillId="4" borderId="54" xfId="0" applyFill="1" applyBorder="1" applyAlignment="1" applyProtection="1">
      <alignment horizontal="left" vertical="center" wrapText="1"/>
      <protection locked="0"/>
    </xf>
    <xf numFmtId="0" fontId="0" fillId="0" borderId="46" xfId="0" applyFont="1" applyBorder="1" applyAlignment="1">
      <alignment horizontal="left" vertical="top"/>
    </xf>
    <xf numFmtId="0" fontId="0" fillId="0" borderId="50" xfId="0" applyFont="1" applyBorder="1" applyAlignment="1">
      <alignment horizontal="left" vertical="top"/>
    </xf>
    <xf numFmtId="0" fontId="4" fillId="0" borderId="50" xfId="0" applyFont="1" applyBorder="1" applyAlignment="1">
      <alignment horizontal="left" vertical="top" wrapText="1"/>
    </xf>
    <xf numFmtId="0" fontId="5" fillId="0" borderId="46"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0" fillId="0" borderId="1" xfId="0" applyFont="1" applyBorder="1" applyAlignment="1">
      <alignment horizontal="left" vertical="top"/>
    </xf>
    <xf numFmtId="0" fontId="0" fillId="0" borderId="54" xfId="0" applyFont="1" applyBorder="1" applyAlignment="1">
      <alignment horizontal="left" vertical="top"/>
    </xf>
    <xf numFmtId="0" fontId="5" fillId="0" borderId="43" xfId="0" applyFont="1" applyFill="1" applyBorder="1" applyAlignment="1">
      <alignment horizontal="center" vertical="center" wrapText="1"/>
    </xf>
    <xf numFmtId="0" fontId="5" fillId="4" borderId="46" xfId="0" applyFont="1" applyFill="1" applyBorder="1" applyAlignment="1" applyProtection="1">
      <alignment horizontal="center" vertical="center" wrapText="1"/>
      <protection locked="0"/>
    </xf>
    <xf numFmtId="0" fontId="5" fillId="4" borderId="44"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wrapText="1"/>
    </xf>
    <xf numFmtId="0" fontId="5" fillId="4" borderId="50" xfId="0" applyFont="1" applyFill="1" applyBorder="1" applyAlignment="1" applyProtection="1">
      <alignment horizontal="center" vertical="center" wrapText="1"/>
      <protection locked="0"/>
    </xf>
    <xf numFmtId="0" fontId="5" fillId="4" borderId="48"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xf>
    <xf numFmtId="0" fontId="5" fillId="4" borderId="54" xfId="0" applyFont="1" applyFill="1" applyBorder="1" applyAlignment="1" applyProtection="1">
      <alignment horizontal="center" vertical="center" wrapText="1"/>
      <protection locked="0"/>
    </xf>
    <xf numFmtId="0" fontId="5" fillId="4" borderId="52" xfId="0" applyFont="1" applyFill="1" applyBorder="1" applyAlignment="1" applyProtection="1">
      <alignment horizontal="left" vertical="center" wrapText="1"/>
      <protection locked="0"/>
    </xf>
    <xf numFmtId="0" fontId="5" fillId="0" borderId="51" xfId="0" applyFont="1" applyFill="1" applyBorder="1" applyAlignment="1">
      <alignment horizontal="center" vertical="center" wrapText="1"/>
    </xf>
    <xf numFmtId="0" fontId="0" fillId="0" borderId="0" xfId="0" applyFont="1" applyAlignment="1">
      <alignment wrapText="1"/>
    </xf>
    <xf numFmtId="0" fontId="0" fillId="0" borderId="0" xfId="0" applyFont="1"/>
    <xf numFmtId="0" fontId="0" fillId="0" borderId="43" xfId="0" applyBorder="1" applyAlignment="1">
      <alignment horizontal="center" vertical="center"/>
    </xf>
    <xf numFmtId="0" fontId="0" fillId="0" borderId="47" xfId="0" applyBorder="1" applyAlignment="1">
      <alignment horizontal="center" vertical="center"/>
    </xf>
    <xf numFmtId="0" fontId="0" fillId="0" borderId="51" xfId="0" applyBorder="1" applyAlignment="1">
      <alignment horizontal="center" vertical="center"/>
    </xf>
    <xf numFmtId="0" fontId="0" fillId="0" borderId="43" xfId="0" applyFont="1" applyFill="1" applyBorder="1" applyAlignment="1">
      <alignment horizontal="center" vertical="center"/>
    </xf>
    <xf numFmtId="0" fontId="0" fillId="0" borderId="47" xfId="0" applyFont="1" applyBorder="1" applyAlignment="1">
      <alignment horizontal="center" vertical="center"/>
    </xf>
    <xf numFmtId="0" fontId="26" fillId="0" borderId="0" xfId="0" applyFont="1"/>
    <xf numFmtId="0" fontId="10" fillId="6" borderId="43" xfId="0" applyFont="1" applyFill="1" applyBorder="1" applyAlignment="1">
      <alignment vertical="top" wrapText="1"/>
    </xf>
    <xf numFmtId="0" fontId="10" fillId="0" borderId="55" xfId="0" applyFont="1" applyBorder="1" applyAlignment="1">
      <alignment vertical="top" wrapText="1"/>
    </xf>
    <xf numFmtId="0" fontId="12" fillId="0" borderId="45" xfId="0" applyFont="1" applyBorder="1" applyAlignment="1">
      <alignment vertical="top" wrapText="1"/>
    </xf>
    <xf numFmtId="0" fontId="10" fillId="0" borderId="45" xfId="0" applyFont="1" applyBorder="1" applyAlignment="1">
      <alignment vertical="top" wrapText="1"/>
    </xf>
    <xf numFmtId="0" fontId="10" fillId="6" borderId="56" xfId="0" applyFont="1" applyFill="1" applyBorder="1" applyAlignment="1">
      <alignment vertical="top" wrapText="1"/>
    </xf>
    <xf numFmtId="0" fontId="10" fillId="0" borderId="44" xfId="0" applyFont="1" applyBorder="1" applyAlignment="1">
      <alignment vertical="top" wrapText="1"/>
    </xf>
    <xf numFmtId="0" fontId="10" fillId="0" borderId="46" xfId="0" applyFont="1" applyBorder="1" applyAlignment="1">
      <alignment vertical="top" wrapText="1"/>
    </xf>
    <xf numFmtId="0" fontId="11" fillId="6" borderId="47" xfId="0" applyFont="1" applyFill="1" applyBorder="1" applyAlignment="1">
      <alignment vertical="top" wrapText="1"/>
    </xf>
    <xf numFmtId="0" fontId="10" fillId="0" borderId="57" xfId="0" applyFont="1" applyBorder="1" applyAlignment="1">
      <alignment vertical="top" wrapText="1"/>
    </xf>
    <xf numFmtId="0" fontId="12" fillId="0" borderId="49" xfId="0" applyFont="1" applyBorder="1" applyAlignment="1">
      <alignment vertical="top" wrapText="1"/>
    </xf>
    <xf numFmtId="0" fontId="10" fillId="0" borderId="49" xfId="0" applyFont="1" applyBorder="1" applyAlignment="1">
      <alignment vertical="top" wrapText="1"/>
    </xf>
    <xf numFmtId="0" fontId="10" fillId="6" borderId="58" xfId="0" applyFont="1" applyFill="1" applyBorder="1" applyAlignment="1">
      <alignment vertical="top" wrapText="1"/>
    </xf>
    <xf numFmtId="0" fontId="10" fillId="0" borderId="48" xfId="0" applyFont="1" applyBorder="1" applyAlignment="1">
      <alignment vertical="top" wrapText="1"/>
    </xf>
    <xf numFmtId="0" fontId="10" fillId="6" borderId="47" xfId="0" applyFont="1" applyFill="1" applyBorder="1" applyAlignment="1">
      <alignment vertical="top" wrapText="1"/>
    </xf>
    <xf numFmtId="0" fontId="10" fillId="0" borderId="50" xfId="0" applyFont="1" applyBorder="1" applyAlignment="1">
      <alignment vertical="top" wrapText="1"/>
    </xf>
    <xf numFmtId="0" fontId="10" fillId="6" borderId="51" xfId="0" applyFont="1" applyFill="1" applyBorder="1" applyAlignment="1">
      <alignment vertical="top" wrapText="1"/>
    </xf>
    <xf numFmtId="0" fontId="10" fillId="0" borderId="59" xfId="0" applyFont="1" applyBorder="1" applyAlignment="1">
      <alignment vertical="top" wrapText="1"/>
    </xf>
    <xf numFmtId="0" fontId="12" fillId="0" borderId="53" xfId="0" applyFont="1" applyBorder="1" applyAlignment="1">
      <alignment vertical="top" wrapText="1"/>
    </xf>
    <xf numFmtId="0" fontId="10" fillId="0" borderId="53" xfId="0" applyFont="1" applyBorder="1" applyAlignment="1">
      <alignment vertical="top" wrapText="1"/>
    </xf>
    <xf numFmtId="0" fontId="10" fillId="6" borderId="60" xfId="0" applyFont="1" applyFill="1" applyBorder="1" applyAlignment="1">
      <alignment vertical="top" wrapText="1"/>
    </xf>
    <xf numFmtId="0" fontId="10" fillId="0" borderId="52" xfId="0" applyFont="1" applyBorder="1" applyAlignment="1">
      <alignment vertical="top" wrapText="1"/>
    </xf>
    <xf numFmtId="0" fontId="10" fillId="0" borderId="54" xfId="0" applyFont="1" applyBorder="1" applyAlignment="1">
      <alignment vertical="top" wrapText="1"/>
    </xf>
    <xf numFmtId="0" fontId="12" fillId="0" borderId="46" xfId="0" applyFont="1" applyBorder="1" applyAlignment="1">
      <alignment vertical="top" wrapText="1"/>
    </xf>
    <xf numFmtId="0" fontId="12" fillId="0" borderId="50" xfId="0" applyFont="1" applyBorder="1" applyAlignment="1">
      <alignment vertical="top" wrapText="1"/>
    </xf>
    <xf numFmtId="0" fontId="12" fillId="0" borderId="54" xfId="0" applyFont="1" applyBorder="1" applyAlignment="1">
      <alignment vertical="top" wrapText="1"/>
    </xf>
    <xf numFmtId="0" fontId="10" fillId="0" borderId="55" xfId="0" applyFont="1" applyFill="1" applyBorder="1" applyAlignment="1">
      <alignment vertical="top" wrapText="1"/>
    </xf>
    <xf numFmtId="0" fontId="10" fillId="0" borderId="57" xfId="0" applyFont="1" applyFill="1" applyBorder="1" applyAlignment="1">
      <alignment vertical="top" wrapText="1"/>
    </xf>
    <xf numFmtId="0" fontId="10" fillId="0" borderId="59" xfId="0" applyFont="1" applyFill="1" applyBorder="1" applyAlignment="1">
      <alignment vertical="top" wrapText="1"/>
    </xf>
    <xf numFmtId="0" fontId="0" fillId="4" borderId="46" xfId="0" applyFont="1" applyFill="1" applyBorder="1" applyAlignment="1" applyProtection="1">
      <alignment horizontal="center" vertical="center" wrapText="1"/>
      <protection locked="0"/>
    </xf>
    <xf numFmtId="0" fontId="0" fillId="4" borderId="44" xfId="0" applyFont="1" applyFill="1" applyBorder="1" applyAlignment="1" applyProtection="1">
      <alignment horizontal="left" vertical="center" wrapText="1"/>
      <protection locked="0"/>
    </xf>
    <xf numFmtId="0" fontId="30" fillId="0" borderId="42" xfId="0" applyFont="1" applyFill="1" applyBorder="1" applyAlignment="1">
      <alignment horizontal="center" vertical="center"/>
    </xf>
    <xf numFmtId="0" fontId="3" fillId="2" borderId="13" xfId="0" applyFont="1" applyFill="1" applyBorder="1" applyAlignment="1">
      <alignment horizontal="center" vertical="center" wrapText="1"/>
    </xf>
    <xf numFmtId="0" fontId="0" fillId="0" borderId="0" xfId="0" applyBorder="1" applyAlignment="1" applyProtection="1">
      <alignment horizontal="left" vertical="top" wrapText="1"/>
      <protection locked="0"/>
    </xf>
    <xf numFmtId="164" fontId="0" fillId="0" borderId="50" xfId="1" applyFont="1" applyBorder="1" applyAlignment="1">
      <alignment horizontal="left" vertical="top"/>
    </xf>
    <xf numFmtId="0" fontId="31" fillId="0" borderId="0" xfId="0" applyFont="1" applyAlignment="1">
      <alignment horizontal="left" vertical="top"/>
    </xf>
    <xf numFmtId="0" fontId="31" fillId="0" borderId="0" xfId="0" applyFont="1" applyAlignment="1">
      <alignment horizontal="center" vertical="top"/>
    </xf>
    <xf numFmtId="0" fontId="3" fillId="3" borderId="3" xfId="0" applyFont="1" applyFill="1" applyBorder="1" applyAlignment="1">
      <alignment vertical="center"/>
    </xf>
    <xf numFmtId="0" fontId="35" fillId="0" borderId="0" xfId="0" applyFont="1" applyAlignment="1">
      <alignment horizontal="left" vertical="top"/>
    </xf>
    <xf numFmtId="0" fontId="0" fillId="0" borderId="13" xfId="0" applyBorder="1" applyAlignment="1">
      <alignment wrapText="1"/>
    </xf>
    <xf numFmtId="0" fontId="5" fillId="0" borderId="54" xfId="0" applyFont="1" applyBorder="1" applyAlignment="1">
      <alignment horizontal="left" vertical="top" wrapText="1"/>
    </xf>
    <xf numFmtId="0" fontId="28" fillId="0" borderId="0" xfId="0" applyFont="1" applyAlignment="1">
      <alignment horizontal="left" vertical="center"/>
    </xf>
    <xf numFmtId="0" fontId="17" fillId="0" borderId="25"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37" xfId="0" applyFont="1" applyFill="1" applyBorder="1" applyAlignment="1">
      <alignment horizontal="center" vertical="center" wrapText="1"/>
    </xf>
    <xf numFmtId="0" fontId="17" fillId="0" borderId="38"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0" fillId="0" borderId="46" xfId="0" applyFont="1" applyBorder="1" applyAlignment="1">
      <alignment vertical="center" wrapText="1"/>
    </xf>
    <xf numFmtId="0" fontId="0" fillId="0" borderId="50" xfId="0" applyFont="1" applyBorder="1" applyAlignment="1">
      <alignment wrapText="1"/>
    </xf>
    <xf numFmtId="0" fontId="0" fillId="0" borderId="49" xfId="0" applyBorder="1" applyAlignment="1">
      <alignment horizontal="left" vertical="top" wrapText="1"/>
    </xf>
    <xf numFmtId="0" fontId="0" fillId="0" borderId="54" xfId="0" applyFont="1" applyBorder="1" applyAlignment="1">
      <alignment wrapText="1"/>
    </xf>
    <xf numFmtId="0" fontId="0" fillId="0" borderId="53" xfId="0" applyBorder="1" applyAlignment="1">
      <alignment horizontal="left" vertical="top" wrapText="1"/>
    </xf>
    <xf numFmtId="0" fontId="0" fillId="0" borderId="46" xfId="0" applyFont="1" applyBorder="1" applyAlignment="1">
      <alignment wrapText="1"/>
    </xf>
    <xf numFmtId="0" fontId="0" fillId="0" borderId="44" xfId="0" applyFont="1" applyBorder="1" applyAlignment="1">
      <alignment horizontal="left" vertical="top"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8" xfId="0" applyFont="1" applyBorder="1" applyAlignment="1">
      <alignment horizontal="left" vertical="top" wrapText="1"/>
    </xf>
    <xf numFmtId="0" fontId="0" fillId="0" borderId="50" xfId="0" applyFont="1" applyBorder="1"/>
    <xf numFmtId="0" fontId="0" fillId="0" borderId="50" xfId="0" applyFont="1" applyBorder="1" applyAlignment="1">
      <alignment vertical="center" wrapText="1"/>
    </xf>
    <xf numFmtId="0" fontId="0" fillId="0" borderId="54" xfId="0" applyFont="1" applyBorder="1"/>
    <xf numFmtId="0" fontId="0" fillId="0" borderId="52" xfId="0" applyFont="1" applyBorder="1" applyAlignment="1">
      <alignment horizontal="left" vertical="top" wrapText="1"/>
    </xf>
    <xf numFmtId="0" fontId="2" fillId="0" borderId="44" xfId="0" applyFont="1" applyBorder="1" applyAlignment="1">
      <alignment horizontal="left" vertical="top" wrapText="1"/>
    </xf>
    <xf numFmtId="0" fontId="2" fillId="0" borderId="48" xfId="0" applyFont="1" applyBorder="1" applyAlignment="1">
      <alignment horizontal="left" vertical="top" wrapText="1"/>
    </xf>
    <xf numFmtId="0" fontId="0" fillId="0" borderId="50" xfId="0" applyBorder="1" applyAlignment="1">
      <alignment wrapText="1"/>
    </xf>
    <xf numFmtId="0" fontId="32" fillId="0" borderId="50" xfId="0" applyFont="1" applyBorder="1" applyAlignment="1">
      <alignment wrapText="1"/>
    </xf>
    <xf numFmtId="0" fontId="0" fillId="0" borderId="50" xfId="0" applyBorder="1" applyAlignment="1">
      <alignment vertical="center" wrapText="1"/>
    </xf>
    <xf numFmtId="0" fontId="2" fillId="0" borderId="52" xfId="0" applyFont="1" applyBorder="1" applyAlignment="1">
      <alignment horizontal="left" vertical="top" wrapText="1"/>
    </xf>
    <xf numFmtId="0" fontId="0" fillId="0" borderId="54" xfId="0" applyBorder="1" applyAlignment="1">
      <alignment wrapText="1"/>
    </xf>
    <xf numFmtId="0" fontId="0" fillId="0" borderId="46" xfId="0" applyFill="1" applyBorder="1" applyAlignment="1">
      <alignment wrapText="1"/>
    </xf>
    <xf numFmtId="0" fontId="0" fillId="0" borderId="46" xfId="0" applyBorder="1" applyAlignment="1">
      <alignment horizontal="left" vertical="top" wrapText="1"/>
    </xf>
    <xf numFmtId="0" fontId="0" fillId="0" borderId="50" xfId="0" applyFill="1" applyBorder="1" applyAlignment="1">
      <alignment wrapText="1"/>
    </xf>
    <xf numFmtId="0" fontId="0" fillId="0" borderId="54" xfId="0" applyFill="1" applyBorder="1" applyAlignment="1">
      <alignment wrapText="1"/>
    </xf>
    <xf numFmtId="0" fontId="5" fillId="0" borderId="46" xfId="0" applyFont="1" applyBorder="1" applyAlignment="1">
      <alignment horizontal="left" vertical="center" wrapText="1"/>
    </xf>
    <xf numFmtId="0" fontId="0" fillId="0" borderId="50" xfId="0" applyFill="1" applyBorder="1" applyAlignment="1">
      <alignment horizontal="left" vertical="top"/>
    </xf>
    <xf numFmtId="0" fontId="0" fillId="0" borderId="50" xfId="0" applyFill="1" applyBorder="1" applyAlignment="1">
      <alignment horizontal="left" vertical="top" wrapText="1"/>
    </xf>
    <xf numFmtId="0" fontId="5" fillId="0" borderId="46" xfId="0" applyFont="1" applyBorder="1" applyAlignment="1">
      <alignment horizontal="left" vertical="top" wrapText="1"/>
    </xf>
    <xf numFmtId="0" fontId="0" fillId="0" borderId="50" xfId="0" applyBorder="1" applyAlignment="1">
      <alignment horizontal="left" vertical="top"/>
    </xf>
    <xf numFmtId="0" fontId="0" fillId="0" borderId="54" xfId="0" applyBorder="1" applyAlignment="1">
      <alignment horizontal="left" vertical="top"/>
    </xf>
    <xf numFmtId="0" fontId="0" fillId="0" borderId="1" xfId="0" applyBorder="1" applyAlignment="1">
      <alignment horizontal="left" vertical="top" wrapText="1"/>
    </xf>
    <xf numFmtId="0" fontId="0" fillId="0" borderId="50" xfId="0" applyBorder="1" applyAlignment="1">
      <alignment horizontal="left" vertical="top" wrapText="1"/>
    </xf>
    <xf numFmtId="0" fontId="0" fillId="0" borderId="54" xfId="0" applyBorder="1" applyAlignment="1">
      <alignment horizontal="left" vertical="top" wrapText="1"/>
    </xf>
    <xf numFmtId="0" fontId="5" fillId="0" borderId="48" xfId="0" applyFont="1" applyBorder="1" applyAlignment="1">
      <alignment horizontal="left" vertical="top" wrapText="1"/>
    </xf>
    <xf numFmtId="0" fontId="0" fillId="0" borderId="44" xfId="0" applyFont="1" applyFill="1" applyBorder="1" applyAlignment="1">
      <alignment horizontal="left" vertical="top" wrapText="1"/>
    </xf>
    <xf numFmtId="0" fontId="32" fillId="0" borderId="50" xfId="0" applyFont="1" applyBorder="1" applyAlignment="1">
      <alignment horizontal="left" vertical="top" wrapText="1"/>
    </xf>
    <xf numFmtId="164" fontId="0" fillId="0" borderId="54" xfId="1" applyFont="1" applyBorder="1" applyAlignment="1">
      <alignment horizontal="left" vertical="top" wrapText="1"/>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5"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43" xfId="0" applyFont="1" applyBorder="1" applyAlignment="1">
      <alignment horizontal="left" vertical="top" wrapText="1"/>
    </xf>
    <xf numFmtId="0" fontId="6" fillId="0" borderId="47" xfId="0" applyFont="1" applyBorder="1" applyAlignment="1">
      <alignment horizontal="left" vertical="top" wrapText="1"/>
    </xf>
    <xf numFmtId="0" fontId="6" fillId="0" borderId="51" xfId="0" applyFont="1" applyBorder="1" applyAlignment="1">
      <alignment horizontal="left" vertical="top" wrapText="1"/>
    </xf>
    <xf numFmtId="0" fontId="6" fillId="0" borderId="46" xfId="0" applyFont="1" applyBorder="1" applyAlignment="1">
      <alignment horizontal="left" vertical="top" wrapText="1"/>
    </xf>
    <xf numFmtId="0" fontId="6" fillId="0" borderId="50" xfId="0" applyFont="1" applyBorder="1" applyAlignment="1">
      <alignment horizontal="left" vertical="top" wrapText="1"/>
    </xf>
    <xf numFmtId="0" fontId="6" fillId="0" borderId="54" xfId="0" applyFont="1" applyBorder="1" applyAlignment="1">
      <alignment horizontal="left" vertical="top" wrapText="1"/>
    </xf>
    <xf numFmtId="0" fontId="7" fillId="0" borderId="2" xfId="0" applyFont="1" applyBorder="1" applyAlignment="1">
      <alignment horizontal="left" vertical="top" wrapText="1"/>
    </xf>
    <xf numFmtId="0" fontId="7" fillId="0" borderId="5" xfId="0" applyFont="1" applyBorder="1" applyAlignment="1">
      <alignment horizontal="left" vertical="top" wrapText="1"/>
    </xf>
    <xf numFmtId="0" fontId="7" fillId="0" borderId="43" xfId="0" applyFont="1" applyBorder="1" applyAlignment="1">
      <alignment horizontal="left" vertical="top" wrapText="1"/>
    </xf>
    <xf numFmtId="0" fontId="7" fillId="0" borderId="47" xfId="0" applyFont="1" applyBorder="1" applyAlignment="1">
      <alignment horizontal="left" vertical="top" wrapText="1"/>
    </xf>
    <xf numFmtId="0" fontId="7" fillId="0" borderId="51" xfId="0" applyFont="1" applyBorder="1" applyAlignment="1">
      <alignment horizontal="left" vertical="top" wrapText="1"/>
    </xf>
    <xf numFmtId="0" fontId="18" fillId="0" borderId="13" xfId="0" applyFont="1" applyBorder="1" applyAlignment="1">
      <alignment horizontal="center" vertical="center"/>
    </xf>
    <xf numFmtId="0" fontId="18" fillId="0" borderId="15" xfId="0" applyFont="1" applyBorder="1" applyAlignment="1">
      <alignment horizontal="center" vertical="center"/>
    </xf>
    <xf numFmtId="0" fontId="18" fillId="0" borderId="4" xfId="0" applyFont="1" applyBorder="1" applyAlignment="1">
      <alignment horizontal="center" vertical="center"/>
    </xf>
    <xf numFmtId="0" fontId="18" fillId="0" borderId="9" xfId="0" applyFont="1" applyBorder="1" applyAlignment="1">
      <alignment horizontal="center" vertical="center"/>
    </xf>
    <xf numFmtId="165" fontId="18" fillId="7" borderId="18" xfId="0" applyNumberFormat="1" applyFont="1" applyFill="1" applyBorder="1" applyAlignment="1">
      <alignment horizontal="center" vertical="center"/>
    </xf>
    <xf numFmtId="165" fontId="18" fillId="7" borderId="19" xfId="0" applyNumberFormat="1" applyFont="1" applyFill="1" applyBorder="1" applyAlignment="1">
      <alignment horizontal="center" vertical="center"/>
    </xf>
    <xf numFmtId="165" fontId="18" fillId="7" borderId="20" xfId="0" applyNumberFormat="1" applyFont="1" applyFill="1" applyBorder="1" applyAlignment="1">
      <alignment horizontal="center" vertical="center"/>
    </xf>
    <xf numFmtId="0" fontId="0" fillId="0" borderId="5" xfId="0" applyFont="1" applyBorder="1" applyAlignment="1">
      <alignment vertical="center" wrapText="1"/>
    </xf>
    <xf numFmtId="0" fontId="18" fillId="0" borderId="14" xfId="0" applyFont="1" applyBorder="1" applyAlignment="1">
      <alignment horizontal="center" vertical="center"/>
    </xf>
    <xf numFmtId="0" fontId="18" fillId="0" borderId="6" xfId="0" applyFont="1" applyBorder="1" applyAlignment="1">
      <alignment horizontal="center" vertical="center"/>
    </xf>
    <xf numFmtId="0" fontId="0" fillId="0" borderId="32" xfId="0" applyFont="1" applyBorder="1" applyAlignment="1">
      <alignment vertical="center" wrapText="1"/>
    </xf>
    <xf numFmtId="0" fontId="18" fillId="0" borderId="24" xfId="0" applyFont="1" applyBorder="1" applyAlignment="1">
      <alignment horizontal="center" vertical="center"/>
    </xf>
    <xf numFmtId="0" fontId="18" fillId="0" borderId="33" xfId="0" applyFont="1" applyBorder="1" applyAlignment="1">
      <alignment horizontal="center" vertical="center"/>
    </xf>
    <xf numFmtId="0" fontId="0" fillId="0" borderId="2" xfId="0" applyFont="1" applyBorder="1" applyAlignment="1">
      <alignment vertical="center" wrapText="1"/>
    </xf>
    <xf numFmtId="0" fontId="0" fillId="0" borderId="7" xfId="0" applyFont="1" applyBorder="1" applyAlignment="1">
      <alignment vertical="center" wrapText="1"/>
    </xf>
    <xf numFmtId="0" fontId="23" fillId="7" borderId="18" xfId="0" applyFont="1" applyFill="1" applyBorder="1" applyAlignment="1">
      <alignment horizontal="center" vertical="center"/>
    </xf>
    <xf numFmtId="0" fontId="23" fillId="7" borderId="19" xfId="0" applyFont="1" applyFill="1" applyBorder="1" applyAlignment="1">
      <alignment horizontal="center" vertical="center"/>
    </xf>
    <xf numFmtId="0" fontId="23" fillId="7" borderId="20" xfId="0" applyFont="1" applyFill="1" applyBorder="1" applyAlignment="1">
      <alignment horizontal="center" vertical="center"/>
    </xf>
    <xf numFmtId="0" fontId="18" fillId="7" borderId="18" xfId="0" applyFont="1" applyFill="1" applyBorder="1" applyAlignment="1">
      <alignment horizontal="center" vertical="center"/>
    </xf>
    <xf numFmtId="0" fontId="22" fillId="7" borderId="19" xfId="0" applyFont="1" applyFill="1" applyBorder="1" applyAlignment="1">
      <alignment horizontal="center"/>
    </xf>
    <xf numFmtId="0" fontId="22" fillId="7" borderId="20" xfId="0" applyFont="1" applyFill="1" applyBorder="1" applyAlignment="1">
      <alignment horizontal="center"/>
    </xf>
    <xf numFmtId="0" fontId="25" fillId="3" borderId="18" xfId="0" applyFont="1" applyFill="1" applyBorder="1" applyAlignment="1">
      <alignment horizontal="center" vertical="center"/>
    </xf>
    <xf numFmtId="0" fontId="25" fillId="3" borderId="36" xfId="0" applyFont="1" applyFill="1" applyBorder="1" applyAlignment="1">
      <alignment horizontal="center" vertical="center"/>
    </xf>
    <xf numFmtId="0" fontId="29" fillId="8" borderId="18" xfId="0" applyFont="1" applyFill="1" applyBorder="1" applyAlignment="1">
      <alignment horizontal="center" vertical="center"/>
    </xf>
    <xf numFmtId="0" fontId="29" fillId="8" borderId="19" xfId="0" applyFont="1" applyFill="1" applyBorder="1" applyAlignment="1">
      <alignment horizontal="center" vertical="center"/>
    </xf>
    <xf numFmtId="0" fontId="29" fillId="8" borderId="20" xfId="0" applyFont="1" applyFill="1" applyBorder="1" applyAlignment="1">
      <alignment horizontal="center" vertical="center"/>
    </xf>
    <xf numFmtId="0" fontId="17" fillId="0" borderId="39" xfId="0" applyFont="1" applyBorder="1" applyAlignment="1">
      <alignment horizontal="left" vertical="top" wrapText="1"/>
    </xf>
    <xf numFmtId="0" fontId="17" fillId="0" borderId="31" xfId="0" applyFont="1" applyBorder="1" applyAlignment="1">
      <alignment horizontal="left" vertical="top" wrapText="1"/>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54">
    <cellStyle name="Lien hypertexte" xfId="2" builtinId="8" hidden="1"/>
    <cellStyle name="Lien hypertexte" xfId="4" builtinId="8" hidden="1"/>
    <cellStyle name="Lien hypertexte" xfId="6" builtinId="8" hidden="1"/>
    <cellStyle name="Lien hypertexte" xfId="8" builtinId="8" hidden="1"/>
    <cellStyle name="Lien hypertexte" xfId="10" builtinId="8" hidden="1"/>
    <cellStyle name="Lien hypertexte" xfId="12" builtinId="8" hidden="1"/>
    <cellStyle name="Lien hypertexte" xfId="14" builtinId="8" hidden="1"/>
    <cellStyle name="Lien hypertexte" xfId="16" builtinId="8" hidden="1"/>
    <cellStyle name="Lien hypertexte" xfId="18" builtinId="8" hidden="1"/>
    <cellStyle name="Lien hypertexte" xfId="20" builtinId="8" hidden="1"/>
    <cellStyle name="Lien hypertexte" xfId="22" builtinId="8" hidden="1"/>
    <cellStyle name="Lien hypertexte" xfId="24" builtinId="8" hidden="1"/>
    <cellStyle name="Lien hypertexte" xfId="26" builtinId="8" hidden="1"/>
    <cellStyle name="Lien hypertexte" xfId="28" builtinId="8" hidden="1"/>
    <cellStyle name="Lien hypertexte" xfId="30" builtinId="8" hidden="1"/>
    <cellStyle name="Lien hypertexte" xfId="32" builtinId="8" hidden="1"/>
    <cellStyle name="Lien hypertexte" xfId="34" builtinId="8" hidden="1"/>
    <cellStyle name="Lien hypertexte" xfId="36" builtinId="8" hidden="1"/>
    <cellStyle name="Lien hypertexte" xfId="38" builtinId="8" hidden="1"/>
    <cellStyle name="Lien hypertexte" xfId="40" builtinId="8" hidden="1"/>
    <cellStyle name="Lien hypertexte" xfId="42" builtinId="8" hidden="1"/>
    <cellStyle name="Lien hypertexte" xfId="44" builtinId="8" hidden="1"/>
    <cellStyle name="Lien hypertexte" xfId="46" builtinId="8" hidden="1"/>
    <cellStyle name="Lien hypertexte" xfId="48" builtinId="8" hidden="1"/>
    <cellStyle name="Lien hypertexte" xfId="50" builtinId="8" hidden="1"/>
    <cellStyle name="Lien hypertexte" xfId="52" builtinId="8" hidden="1"/>
    <cellStyle name="Lien hypertexte visité" xfId="3" builtinId="9" hidden="1"/>
    <cellStyle name="Lien hypertexte visité" xfId="5" builtinId="9" hidden="1"/>
    <cellStyle name="Lien hypertexte visité" xfId="7" builtinId="9" hidden="1"/>
    <cellStyle name="Lien hypertexte visité" xfId="9" builtinId="9" hidden="1"/>
    <cellStyle name="Lien hypertexte visité" xfId="11" builtinId="9" hidden="1"/>
    <cellStyle name="Lien hypertexte visité" xfId="13" builtinId="9" hidden="1"/>
    <cellStyle name="Lien hypertexte visité" xfId="15" builtinId="9" hidden="1"/>
    <cellStyle name="Lien hypertexte visité" xfId="17" builtinId="9" hidden="1"/>
    <cellStyle name="Lien hypertexte visité" xfId="19" builtinId="9" hidden="1"/>
    <cellStyle name="Lien hypertexte visité" xfId="21" builtinId="9" hidden="1"/>
    <cellStyle name="Lien hypertexte visité" xfId="23" builtinId="9" hidden="1"/>
    <cellStyle name="Lien hypertexte visité" xfId="25" builtinId="9" hidden="1"/>
    <cellStyle name="Lien hypertexte visité" xfId="27" builtinId="9" hidden="1"/>
    <cellStyle name="Lien hypertexte visité" xfId="29" builtinId="9" hidden="1"/>
    <cellStyle name="Lien hypertexte visité" xfId="31" builtinId="9" hidden="1"/>
    <cellStyle name="Lien hypertexte visité" xfId="33" builtinId="9" hidden="1"/>
    <cellStyle name="Lien hypertexte visité" xfId="35" builtinId="9" hidden="1"/>
    <cellStyle name="Lien hypertexte visité" xfId="37" builtinId="9" hidden="1"/>
    <cellStyle name="Lien hypertexte visité" xfId="39" builtinId="9" hidden="1"/>
    <cellStyle name="Lien hypertexte visité" xfId="41" builtinId="9" hidden="1"/>
    <cellStyle name="Lien hypertexte visité" xfId="43" builtinId="9" hidden="1"/>
    <cellStyle name="Lien hypertexte visité" xfId="45" builtinId="9" hidden="1"/>
    <cellStyle name="Lien hypertexte visité" xfId="47" builtinId="9" hidden="1"/>
    <cellStyle name="Lien hypertexte visité" xfId="49" builtinId="9" hidden="1"/>
    <cellStyle name="Lien hypertexte visité" xfId="51" builtinId="9" hidden="1"/>
    <cellStyle name="Lien hypertexte visité" xfId="53" builtinId="9" hidden="1"/>
    <cellStyle name="Milliers" xfId="1" builtinId="3"/>
    <cellStyle name="Normal" xfId="0" builtinId="0"/>
  </cellStyles>
  <dxfs count="16">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00B05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pivotCacheDefinition" Target="pivotCache/pivotCacheDefinition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0</xdr:col>
      <xdr:colOff>371475</xdr:colOff>
      <xdr:row>15</xdr:row>
      <xdr:rowOff>85725</xdr:rowOff>
    </xdr:from>
    <xdr:to>
      <xdr:col>7</xdr:col>
      <xdr:colOff>561976</xdr:colOff>
      <xdr:row>20</xdr:row>
      <xdr:rowOff>76200</xdr:rowOff>
    </xdr:to>
    <xdr:sp macro="" textlink="">
      <xdr:nvSpPr>
        <xdr:cNvPr id="6" name="TextBox 5"/>
        <xdr:cNvSpPr txBox="1"/>
      </xdr:nvSpPr>
      <xdr:spPr>
        <a:xfrm>
          <a:off x="371475" y="2990850"/>
          <a:ext cx="4257676" cy="94297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000"/>
            <a:t>S'il vous plaît remplir </a:t>
          </a:r>
          <a:r>
            <a:rPr lang="en-PH" sz="1000" b="1"/>
            <a:t>le profil feuilles de Pays </a:t>
          </a:r>
          <a:r>
            <a:rPr lang="en-PH" sz="1000" b="0"/>
            <a:t>(</a:t>
          </a:r>
          <a:r>
            <a:rPr lang="en-PH" sz="1000" b="1"/>
            <a:t>Country</a:t>
          </a:r>
          <a:r>
            <a:rPr lang="en-PH" sz="1000" b="1" baseline="0"/>
            <a:t> profile</a:t>
          </a:r>
          <a:r>
            <a:rPr lang="en-PH" sz="1000" b="0" baseline="0"/>
            <a:t>)</a:t>
          </a:r>
          <a:r>
            <a:rPr lang="en-PH" sz="1000" b="1" baseline="0"/>
            <a:t> </a:t>
          </a:r>
          <a:r>
            <a:rPr lang="en-PH" sz="1000"/>
            <a:t>et des </a:t>
          </a:r>
          <a:r>
            <a:rPr lang="en-PH" sz="1000" b="1"/>
            <a:t>questions transversales </a:t>
          </a:r>
          <a:r>
            <a:rPr lang="en-PH" sz="1000" b="0"/>
            <a:t>(</a:t>
          </a:r>
          <a:r>
            <a:rPr lang="en-PH" sz="1000" b="1"/>
            <a:t>Cross-cutting issues</a:t>
          </a:r>
          <a:r>
            <a:rPr lang="en-PH" sz="1000" b="0"/>
            <a:t>)</a:t>
          </a:r>
          <a:r>
            <a:rPr lang="en-PH" sz="1000"/>
            <a:t>.</a:t>
          </a:r>
        </a:p>
        <a:p>
          <a:pPr algn="ctr"/>
          <a:endParaRPr lang="en-PH" sz="1000"/>
        </a:p>
        <a:p>
          <a:pPr algn="ctr"/>
          <a:r>
            <a:rPr lang="en-PH" sz="1000"/>
            <a:t>Un résumé des activités du programme de la rage accomplis et en attente de votre pays sera listé dans </a:t>
          </a:r>
          <a:r>
            <a:rPr lang="en-PH" sz="1000" b="1"/>
            <a:t>les feuilles de sommaire </a:t>
          </a:r>
          <a:r>
            <a:rPr lang="en-PH" sz="1000" b="0"/>
            <a:t>(</a:t>
          </a:r>
          <a:r>
            <a:rPr lang="en-PH" sz="1000" b="1"/>
            <a:t>Summary </a:t>
          </a:r>
          <a:r>
            <a:rPr lang="en-PH" sz="1000" b="0"/>
            <a:t>worksheets)</a:t>
          </a:r>
          <a:r>
            <a:rPr lang="en-PH" sz="1000"/>
            <a:t>.</a:t>
          </a:r>
        </a:p>
        <a:p>
          <a:pPr algn="ctr"/>
          <a:endParaRPr lang="en-PH" sz="1000"/>
        </a:p>
      </xdr:txBody>
    </xdr:sp>
    <xdr:clientData/>
  </xdr:twoCellAnchor>
  <xdr:twoCellAnchor>
    <xdr:from>
      <xdr:col>0</xdr:col>
      <xdr:colOff>406400</xdr:colOff>
      <xdr:row>3</xdr:row>
      <xdr:rowOff>127000</xdr:rowOff>
    </xdr:from>
    <xdr:to>
      <xdr:col>8</xdr:col>
      <xdr:colOff>225425</xdr:colOff>
      <xdr:row>14</xdr:row>
      <xdr:rowOff>92075</xdr:rowOff>
    </xdr:to>
    <xdr:sp macro="" textlink="">
      <xdr:nvSpPr>
        <xdr:cNvPr id="7" name="TextBox 6"/>
        <xdr:cNvSpPr txBox="1"/>
      </xdr:nvSpPr>
      <xdr:spPr>
        <a:xfrm>
          <a:off x="406400" y="711200"/>
          <a:ext cx="5102225" cy="1920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xdr:from>
      <xdr:col>5</xdr:col>
      <xdr:colOff>152400</xdr:colOff>
      <xdr:row>0</xdr:row>
      <xdr:rowOff>0</xdr:rowOff>
    </xdr:from>
    <xdr:to>
      <xdr:col>14</xdr:col>
      <xdr:colOff>561975</xdr:colOff>
      <xdr:row>3</xdr:row>
      <xdr:rowOff>0</xdr:rowOff>
    </xdr:to>
    <xdr:sp macro="" textlink="">
      <xdr:nvSpPr>
        <xdr:cNvPr id="8" name="TextBox 7"/>
        <xdr:cNvSpPr txBox="1"/>
      </xdr:nvSpPr>
      <xdr:spPr>
        <a:xfrm>
          <a:off x="3454400" y="0"/>
          <a:ext cx="6353175"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editAs="oneCell">
    <xdr:from>
      <xdr:col>10</xdr:col>
      <xdr:colOff>139700</xdr:colOff>
      <xdr:row>3</xdr:row>
      <xdr:rowOff>0</xdr:rowOff>
    </xdr:from>
    <xdr:to>
      <xdr:col>20</xdr:col>
      <xdr:colOff>571500</xdr:colOff>
      <xdr:row>28</xdr:row>
      <xdr:rowOff>64308</xdr:rowOff>
    </xdr:to>
    <xdr:pic>
      <xdr:nvPicPr>
        <xdr:cNvPr id="9" name="Picture 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43700" y="584200"/>
          <a:ext cx="7035800" cy="45093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26</xdr:row>
      <xdr:rowOff>0</xdr:rowOff>
    </xdr:from>
    <xdr:to>
      <xdr:col>5</xdr:col>
      <xdr:colOff>42416</xdr:colOff>
      <xdr:row>36</xdr:row>
      <xdr:rowOff>38371</xdr:rowOff>
    </xdr:to>
    <xdr:pic>
      <xdr:nvPicPr>
        <xdr:cNvPr id="5" name="Picture 4"/>
        <xdr:cNvPicPr>
          <a:picLocks noChangeAspect="1"/>
        </xdr:cNvPicPr>
      </xdr:nvPicPr>
      <xdr:blipFill>
        <a:blip xmlns:r="http://schemas.openxmlformats.org/officeDocument/2006/relationships" r:embed="rId1"/>
        <a:stretch>
          <a:fillRect/>
        </a:stretch>
      </xdr:blipFill>
      <xdr:spPr>
        <a:xfrm>
          <a:off x="0" y="8735428"/>
          <a:ext cx="5782482" cy="1943371"/>
        </a:xfrm>
        <a:prstGeom prst="rect">
          <a:avLst/>
        </a:prstGeom>
      </xdr:spPr>
    </xdr:pic>
    <xdr:clientData/>
  </xdr:twoCellAnchor>
  <xdr:twoCellAnchor editAs="oneCell">
    <xdr:from>
      <xdr:col>0</xdr:col>
      <xdr:colOff>0</xdr:colOff>
      <xdr:row>38</xdr:row>
      <xdr:rowOff>0</xdr:rowOff>
    </xdr:from>
    <xdr:to>
      <xdr:col>6</xdr:col>
      <xdr:colOff>455321</xdr:colOff>
      <xdr:row>55</xdr:row>
      <xdr:rowOff>62116</xdr:rowOff>
    </xdr:to>
    <xdr:pic>
      <xdr:nvPicPr>
        <xdr:cNvPr id="6" name="Picture 5"/>
        <xdr:cNvPicPr>
          <a:picLocks noChangeAspect="1"/>
        </xdr:cNvPicPr>
      </xdr:nvPicPr>
      <xdr:blipFill>
        <a:blip xmlns:r="http://schemas.openxmlformats.org/officeDocument/2006/relationships" r:embed="rId2"/>
        <a:stretch>
          <a:fillRect/>
        </a:stretch>
      </xdr:blipFill>
      <xdr:spPr>
        <a:xfrm>
          <a:off x="0" y="11016414"/>
          <a:ext cx="8087854" cy="3258005"/>
        </a:xfrm>
        <a:prstGeom prst="rect">
          <a:avLst/>
        </a:prstGeom>
      </xdr:spPr>
    </xdr:pic>
    <xdr:clientData/>
  </xdr:twoCellAnchor>
  <xdr:twoCellAnchor editAs="oneCell">
    <xdr:from>
      <xdr:col>0</xdr:col>
      <xdr:colOff>0</xdr:colOff>
      <xdr:row>57</xdr:row>
      <xdr:rowOff>0</xdr:rowOff>
    </xdr:from>
    <xdr:to>
      <xdr:col>6</xdr:col>
      <xdr:colOff>455321</xdr:colOff>
      <xdr:row>76</xdr:row>
      <xdr:rowOff>133867</xdr:rowOff>
    </xdr:to>
    <xdr:pic>
      <xdr:nvPicPr>
        <xdr:cNvPr id="9" name="Picture 8"/>
        <xdr:cNvPicPr>
          <a:picLocks noChangeAspect="1"/>
        </xdr:cNvPicPr>
      </xdr:nvPicPr>
      <xdr:blipFill>
        <a:blip xmlns:r="http://schemas.openxmlformats.org/officeDocument/2006/relationships" r:embed="rId3"/>
        <a:stretch>
          <a:fillRect/>
        </a:stretch>
      </xdr:blipFill>
      <xdr:spPr>
        <a:xfrm>
          <a:off x="0" y="14588289"/>
          <a:ext cx="8087854" cy="3705742"/>
        </a:xfrm>
        <a:prstGeom prst="rect">
          <a:avLst/>
        </a:prstGeom>
      </xdr:spPr>
    </xdr:pic>
    <xdr:clientData/>
  </xdr:twoCellAnchor>
  <xdr:twoCellAnchor editAs="oneCell">
    <xdr:from>
      <xdr:col>0</xdr:col>
      <xdr:colOff>0</xdr:colOff>
      <xdr:row>78</xdr:row>
      <xdr:rowOff>0</xdr:rowOff>
    </xdr:from>
    <xdr:to>
      <xdr:col>6</xdr:col>
      <xdr:colOff>455321</xdr:colOff>
      <xdr:row>95</xdr:row>
      <xdr:rowOff>176433</xdr:rowOff>
    </xdr:to>
    <xdr:pic>
      <xdr:nvPicPr>
        <xdr:cNvPr id="18" name="Picture 17"/>
        <xdr:cNvPicPr>
          <a:picLocks noChangeAspect="1"/>
        </xdr:cNvPicPr>
      </xdr:nvPicPr>
      <xdr:blipFill>
        <a:blip xmlns:r="http://schemas.openxmlformats.org/officeDocument/2006/relationships" r:embed="rId4"/>
        <a:stretch>
          <a:fillRect/>
        </a:stretch>
      </xdr:blipFill>
      <xdr:spPr>
        <a:xfrm>
          <a:off x="0" y="18536151"/>
          <a:ext cx="8087854" cy="3372321"/>
        </a:xfrm>
        <a:prstGeom prst="rect">
          <a:avLst/>
        </a:prstGeom>
      </xdr:spPr>
    </xdr:pic>
    <xdr:clientData/>
  </xdr:twoCellAnchor>
  <xdr:twoCellAnchor editAs="oneCell">
    <xdr:from>
      <xdr:col>0</xdr:col>
      <xdr:colOff>0</xdr:colOff>
      <xdr:row>97</xdr:row>
      <xdr:rowOff>0</xdr:rowOff>
    </xdr:from>
    <xdr:to>
      <xdr:col>6</xdr:col>
      <xdr:colOff>455321</xdr:colOff>
      <xdr:row>113</xdr:row>
      <xdr:rowOff>173899</xdr:rowOff>
    </xdr:to>
    <xdr:pic>
      <xdr:nvPicPr>
        <xdr:cNvPr id="19" name="Picture 18"/>
        <xdr:cNvPicPr>
          <a:picLocks noChangeAspect="1"/>
        </xdr:cNvPicPr>
      </xdr:nvPicPr>
      <xdr:blipFill>
        <a:blip xmlns:r="http://schemas.openxmlformats.org/officeDocument/2006/relationships" r:embed="rId5"/>
        <a:stretch>
          <a:fillRect/>
        </a:stretch>
      </xdr:blipFill>
      <xdr:spPr>
        <a:xfrm>
          <a:off x="0" y="22108026"/>
          <a:ext cx="8087854" cy="3181794"/>
        </a:xfrm>
        <a:prstGeom prst="rect">
          <a:avLst/>
        </a:prstGeom>
      </xdr:spPr>
    </xdr:pic>
    <xdr:clientData/>
  </xdr:twoCellAnchor>
  <xdr:twoCellAnchor editAs="oneCell">
    <xdr:from>
      <xdr:col>0</xdr:col>
      <xdr:colOff>0</xdr:colOff>
      <xdr:row>116</xdr:row>
      <xdr:rowOff>0</xdr:rowOff>
    </xdr:from>
    <xdr:to>
      <xdr:col>6</xdr:col>
      <xdr:colOff>455321</xdr:colOff>
      <xdr:row>129</xdr:row>
      <xdr:rowOff>51983</xdr:rowOff>
    </xdr:to>
    <xdr:pic>
      <xdr:nvPicPr>
        <xdr:cNvPr id="21" name="Picture 20"/>
        <xdr:cNvPicPr>
          <a:picLocks noChangeAspect="1"/>
        </xdr:cNvPicPr>
      </xdr:nvPicPr>
      <xdr:blipFill>
        <a:blip xmlns:r="http://schemas.openxmlformats.org/officeDocument/2006/relationships" r:embed="rId6"/>
        <a:stretch>
          <a:fillRect/>
        </a:stretch>
      </xdr:blipFill>
      <xdr:spPr>
        <a:xfrm>
          <a:off x="0" y="25679901"/>
          <a:ext cx="8087854" cy="249589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hari" refreshedDate="42544.671747222223" createdVersion="5" refreshedVersion="5" minRefreshableVersion="3" recordCount="103">
  <cacheSource type="worksheet">
    <worksheetSource ref="A1:C104" sheet="masterlist"/>
  </cacheSource>
  <cacheFields count="3">
    <cacheField name="STAGE" numFmtId="0">
      <sharedItems containsSemiMixedTypes="0" containsString="0" containsNumber="1" containsInteger="1" minValue="0" maxValue="5" count="6">
        <n v="0"/>
        <n v="1"/>
        <n v="2"/>
        <n v="3"/>
        <n v="4"/>
        <n v="5"/>
      </sharedItems>
    </cacheField>
    <cacheField name="COMPONENT" numFmtId="0">
      <sharedItems/>
    </cacheField>
    <cacheField name="ACTIVIT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3">
  <r>
    <x v="0"/>
    <s v="leg"/>
    <s v="A case definition consistent with OIE for animal rabies is available"/>
  </r>
  <r>
    <x v="0"/>
    <s v="leg"/>
    <s v="A case definition consistent with WHO for human rabies is available"/>
  </r>
  <r>
    <x v="0"/>
    <s v="leg"/>
    <s v="The national authority reports at least one confirmed rabies case to WHO or OIE "/>
  </r>
  <r>
    <x v="0"/>
    <s v="lab"/>
    <s v="Contacts with an international rabies reference laboratory or international collaborating/reference center are established"/>
  </r>
  <r>
    <x v="0"/>
    <s v="lab"/>
    <s v="At least one rabies suspect sample of animals or humans is submitted to an international rabies reference laboratory for confirmation "/>
  </r>
  <r>
    <x v="0"/>
    <s v="lab"/>
    <s v="Several rabies suspect samples of animals or humans are submitted to a national laboratory and analysed by an internationally recommended method  "/>
  </r>
  <r>
    <x v="0"/>
    <s v="cci"/>
    <s v="Result of rabies sample(s) are shared appropriately with local and national authorities "/>
  </r>
  <r>
    <x v="1"/>
    <s v="leg"/>
    <s v="The animal rabies case definition has been disseminated to relevant professionals"/>
  </r>
  <r>
    <x v="1"/>
    <s v="leg"/>
    <s v="The human rabies case definition has been disseminated to relevant professionals"/>
  </r>
  <r>
    <x v="1"/>
    <s v="leg"/>
    <s v="There is a legal framework relevant to rabies prevention and control"/>
  </r>
  <r>
    <x v="1"/>
    <s v="leg"/>
    <s v="If there is a legal framework, the framework has been reviewed to determine if it is adequate.  "/>
  </r>
  <r>
    <x v="1"/>
    <s v="leg"/>
    <s v="Rabies is made a notifiable disease in animals "/>
  </r>
  <r>
    <x v="1"/>
    <s v="leg"/>
    <s v="Rabies is made a notifiable disease in humans "/>
  </r>
  <r>
    <x v="1"/>
    <s v="leg"/>
    <s v="Legislation includes compulsory rabies vaccination of dogs or proposed if not in place"/>
  </r>
  <r>
    <x v="1"/>
    <s v="leg"/>
    <s v="Legislation includes measures for outbreak response"/>
  </r>
  <r>
    <x v="1"/>
    <s v="dca"/>
    <s v="Reporting of dog rabies from local to national level "/>
  </r>
  <r>
    <x v="1"/>
    <s v="dca"/>
    <s v="Reporting of human rabies from local to national level"/>
  </r>
  <r>
    <x v="1"/>
    <s v="dca"/>
    <s v="Dog rabies data analysis capacity at the national level has been established"/>
  </r>
  <r>
    <x v="1"/>
    <s v="dca"/>
    <s v="Human rabies data analysis capacity at the national level has been established"/>
  </r>
  <r>
    <x v="1"/>
    <s v="dca"/>
    <s v="Dog bite reporting and documentation have been reviewed and data compiled"/>
  </r>
  <r>
    <x v="1"/>
    <s v="dca"/>
    <s v="Dog population studies to determine size, turn-over and accessibility have been conducted in pilot areas"/>
  </r>
  <r>
    <x v="1"/>
    <s v="lab"/>
    <s v="Rabies diagnostic capacity has been established in at least one national laboratory "/>
  </r>
  <r>
    <x v="1"/>
    <s v="iec"/>
    <s v="Public awareness activities on rabies prevention, dog bite management and dog vaccination initiated (e.g. WRD)  "/>
  </r>
  <r>
    <x v="1"/>
    <s v="iec"/>
    <s v="Communications situation and needs (KAP, training needs, stakeholder analysis) assessed at pilot level"/>
  </r>
  <r>
    <x v="1"/>
    <s v="iec"/>
    <s v="Target audiences identified for public, professional and advocacy communications (at-risk communities, dog owners, health professionals, at-risk community leaders/authorities, politicians)"/>
  </r>
  <r>
    <x v="1"/>
    <s v="iec"/>
    <s v="A rabies communication plan developed for public, professional and advocacy target audiences"/>
  </r>
  <r>
    <x v="1"/>
    <s v="iec"/>
    <s v="Training or refresher courses on rabies initiated for professionals in human and animal health "/>
  </r>
  <r>
    <x v="1"/>
    <s v="pco"/>
    <s v="Vaccines for human rabies prophylaxis are available in the country"/>
  </r>
  <r>
    <x v="1"/>
    <s v="pco"/>
    <s v="A first assessment on access to PEP (and PreP) has been carried out"/>
  </r>
  <r>
    <x v="1"/>
    <s v="pco"/>
    <s v="Dog rabies vaccines are available in the country"/>
  </r>
  <r>
    <x v="1"/>
    <s v="pco"/>
    <s v="Dog vaccination is initiated in some parts or pilot areas of the country "/>
  </r>
  <r>
    <x v="1"/>
    <s v="pco"/>
    <s v="Other rabies control activities such as IBCM, dog population management have been implemented (at least in pilot areas) "/>
  </r>
  <r>
    <x v="1"/>
    <s v="dpo"/>
    <s v="Dog population studies to determine size, turn-over and accessibility have been conducted in pilot areas"/>
  </r>
  <r>
    <x v="1"/>
    <s v="dpo"/>
    <s v="Other rabies control activities such as IBCM, dog population management have been implemented (at least in pilot areas) "/>
  </r>
  <r>
    <x v="1"/>
    <s v="cci"/>
    <s v="Identification of main national stakeholders in rabies prevention and control has been carried out"/>
  </r>
  <r>
    <x v="1"/>
    <s v="cci"/>
    <s v="Stakeholder consultations held within the last 3 years"/>
  </r>
  <r>
    <x v="1"/>
    <s v="cci"/>
    <s v="Intersectoral rabies task force, committee or working group established at local or national level and meeting at least twice a year"/>
  </r>
  <r>
    <x v="1"/>
    <s v="cci"/>
    <s v="Based on pilot area experience, a short term rabies action plan has been developed and endorsed by relevant stakeholders at local / national level"/>
  </r>
  <r>
    <x v="1"/>
    <s v="cci"/>
    <s v="Mechanisms for mobilizing emergency funds in case of an outbreak have been identified"/>
  </r>
  <r>
    <x v="2"/>
    <s v="leg"/>
    <s v="The animal rabies case definition has been reviewed and endorsed (intersectoral approach)"/>
  </r>
  <r>
    <x v="2"/>
    <s v="leg"/>
    <s v="The human rabies case definition has been reviewed and endorsed (intersectoral approach)"/>
  </r>
  <r>
    <x v="2"/>
    <s v="leg"/>
    <s v="Legal frameworks updated to include specifications on compulsory vaccination of dogs and international movement of animals. "/>
  </r>
  <r>
    <x v="2"/>
    <s v="dca"/>
    <s v="Establishment of linked human and animal rabies surveillance systems, including agreed SOPs"/>
  </r>
  <r>
    <x v="2"/>
    <s v="dca"/>
    <s v="Human rabies surveillance systems, including feedback mechanism, coordinated between administrative levels (national, province, district, municipal, etc.) "/>
  </r>
  <r>
    <x v="2"/>
    <s v="dca"/>
    <s v="Animal rabies surveillance systems, including feedback mechanism, coordinated between administrative levels (national, province, district, municipal, etc.)"/>
  </r>
  <r>
    <x v="2"/>
    <s v="dca"/>
    <s v="Information on the epidemiology of rabies is regularly shared with all stakeholders"/>
  </r>
  <r>
    <x v="2"/>
    <s v="lab"/>
    <s v="Routine laboratory diagnosis of animal rabies cases in country"/>
  </r>
  <r>
    <x v="2"/>
    <s v="lab"/>
    <s v="Capacity for sample collection and transportation has been established "/>
  </r>
  <r>
    <x v="2"/>
    <s v="iec"/>
    <s v="Information on the epidemiology of rabies is regularly shared with all stakeholders"/>
  </r>
  <r>
    <x v="2"/>
    <s v="iec"/>
    <s v="Rabies communication plan reviewed and updated "/>
  </r>
  <r>
    <x v="2"/>
    <s v="iec"/>
    <s v="Rabies awareness campaigns including responsible dog ownership have been expanded to more areas"/>
  </r>
  <r>
    <x v="2"/>
    <s v="iec"/>
    <s v="Public awareness and sensitization campaigns are tailored to specific target groups (e.g. community leaders, authorities and health professionals, World Rabies Day Activities)."/>
  </r>
  <r>
    <x v="2"/>
    <s v="iec"/>
    <s v="Training of human and animal health personnel has been conducted in most parts of the country"/>
  </r>
  <r>
    <x v="2"/>
    <s v="pco"/>
    <s v="WHO pre-qualified human rabies vaccines available and accessible in most parts of the country"/>
  </r>
  <r>
    <x v="2"/>
    <s v="pco"/>
    <s v="Any use of human biologics not WHO-pre-qualified is being phased out (e.g. nerve tissue vaccines, low quality vaccines)"/>
  </r>
  <r>
    <x v="2"/>
    <s v="pco"/>
    <s v="Supply and access to WHO pre-qualified human rabies vaccines for PrEP for professionals at risk ensured throughout the pilot areas"/>
  </r>
  <r>
    <x v="2"/>
    <s v="pco"/>
    <s v="Only quality dog vaccines in accordance with OIE standards are being used"/>
  </r>
  <r>
    <x v="2"/>
    <s v="pco"/>
    <s v="Dog vaccination campaigns are regularly implemented in response to human cases and animal outbreaks"/>
  </r>
  <r>
    <x v="2"/>
    <s v="pco"/>
    <s v="IBCM SOPs agreed, including sharing of information between sectors"/>
  </r>
  <r>
    <x v="2"/>
    <s v="pco"/>
    <s v="SOPs for the observation of dogs involved in biting incidents available "/>
  </r>
  <r>
    <x v="2"/>
    <s v="dpo"/>
    <s v="Rabies awareness campaigns including responsible dog ownership have been expanded to more areas"/>
  </r>
  <r>
    <x v="2"/>
    <s v="dpo"/>
    <s v="Refinement of strategy based on current dog ecology and KAP surveys"/>
  </r>
  <r>
    <x v="2"/>
    <s v="cci"/>
    <s v="Mechanisms for regular intersectoral collaboration are in place and implemented"/>
  </r>
  <r>
    <x v="2"/>
    <s v="cci"/>
    <s v="Contribution and role of  private sector clarified and shared with other stakeholders"/>
  </r>
  <r>
    <x v="2"/>
    <s v="cci"/>
    <s v="A national strategy and programme for rabies prevention, control and eventual elimination has been  drafted and shared with all relevant stakeholders"/>
  </r>
  <r>
    <x v="2"/>
    <s v="cci"/>
    <s v="Government resources identified and allocated in support of the national rabies control strategy and programme  "/>
  </r>
  <r>
    <x v="3"/>
    <s v="dca"/>
    <s v="Conduct field investigations for all suspected human rabies cases "/>
  </r>
  <r>
    <x v="3"/>
    <s v="dca"/>
    <s v="Epidemiological evidence available to rule out dog- transmitted human rabies cases"/>
  </r>
  <r>
    <x v="3"/>
    <s v="dca"/>
    <s v="Conduct field investigations and laboratory confirmation for all suspected rabies outbreaks in dogs"/>
  </r>
  <r>
    <x v="3"/>
    <s v="dca"/>
    <s v="Initiate collection of local or national health economic data on rabies control to make the case for rabies control investment "/>
  </r>
  <r>
    <x v="3"/>
    <s v="dca"/>
    <s v="Expand health economic studies to support further prioritization within the national rabies control programme"/>
  </r>
  <r>
    <x v="3"/>
    <s v="lab"/>
    <s v="Access to laboratory diagnosis is available throughout the country  for animal samples (and if possible also for human samples)"/>
  </r>
  <r>
    <x v="3"/>
    <s v="lab"/>
    <s v="Regular characterization and analysis of circulating rabies virus variants by a national or international laboratory"/>
  </r>
  <r>
    <x v="3"/>
    <s v="iec"/>
    <s v="Communication plan on rabies elimination is implemented"/>
  </r>
  <r>
    <x v="3"/>
    <s v="iec"/>
    <s v="Declaration of  dog-transmitted rabies free zones publicized"/>
  </r>
  <r>
    <x v="3"/>
    <s v="iec"/>
    <s v="Promote responsible dog ownership together with rabies awareness campaigns"/>
  </r>
  <r>
    <x v="3"/>
    <s v="iec"/>
    <s v="Strengthen public awareness campaigns to advocate dog vaccination to leaders and authorities "/>
  </r>
  <r>
    <x v="3"/>
    <s v="pco"/>
    <s v="WHO pre-qualified Pre- and Post- Exposure Prophylaxis available and accessible to high risk and exposed individuals throughout the country"/>
  </r>
  <r>
    <x v="3"/>
    <s v="pco"/>
    <s v="Mass dog vaccination campaigns (at least 70% of the total dog population) are conducted according to the national rabies strategy "/>
  </r>
  <r>
    <x v="3"/>
    <s v="pco"/>
    <s v="Post-vaccination surveys in dogs to evaluate vaccination coverage"/>
  </r>
  <r>
    <x v="3"/>
    <s v="pco"/>
    <s v="Capacity to conduct field investigations and planned outbreak response for animal and human rabies cases is available in the entire country"/>
  </r>
  <r>
    <x v="3"/>
    <s v="pco"/>
    <s v="Sufficient facilities for observation of rabies-suspected dogs established and comply with international animal welfare regulations"/>
  </r>
  <r>
    <x v="3"/>
    <s v="pco"/>
    <s v="Identification of potential rabies free zones where canine variant cases is absent for at least a 2 year period"/>
  </r>
  <r>
    <x v="3"/>
    <s v="cci"/>
    <s v="Refinement of national strategy based on monitoring and evaluation "/>
  </r>
  <r>
    <x v="4"/>
    <s v="leg"/>
    <s v="Declaration of national dog-transmitted rabies freedom publicized"/>
  </r>
  <r>
    <x v="4"/>
    <s v="dca"/>
    <s v="Maintenance of existing surveillance activities for all suspected cases in humans in the country"/>
  </r>
  <r>
    <x v="4"/>
    <s v="dca"/>
    <s v="Epidemiological data from routine surveillance of all animals (working animals, livestock and wildlife) used to refine the national rabies strategy"/>
  </r>
  <r>
    <x v="4"/>
    <s v="lab"/>
    <s v="Maintenance of existing surveillance activities, including ongoing laboratory investigation, for all suspected cases in dogs in the country"/>
  </r>
  <r>
    <x v="4"/>
    <s v="lab"/>
    <s v="Epidemiological data from routine surveillance of all animals (working animals, livestock and wildlife) used to refine the national rabies strategy"/>
  </r>
  <r>
    <x v="4"/>
    <s v="iec"/>
    <s v="Declaration of national dog-transmitted rabies freedom publicized"/>
  </r>
  <r>
    <x v="4"/>
    <s v="iec"/>
    <s v="Awareness programmes focusing on maintenance of freedom from dog and dog transmitted human rabies"/>
  </r>
  <r>
    <x v="4"/>
    <s v="pco"/>
    <s v="Dog vaccination campaigns are maintained in zones where dog rabies is still present or where otherwise justified (e.g. risk of introduction)"/>
  </r>
  <r>
    <x v="4"/>
    <s v="pco"/>
    <s v="Freedom from dog-transmitted rabies in the entire country verified by the absence of canine variant cases for at least a 2 year period"/>
  </r>
  <r>
    <x v="4"/>
    <s v="pco"/>
    <s v="Measures to prevent re-introduction applied in designated rabies free zones including dialogue with neighbouring countries."/>
  </r>
  <r>
    <x v="4"/>
    <s v="pco"/>
    <s v="Emergency response/contingency plan to any case of animal rabies involving a canine variant developed in preparation of the post elimination phase"/>
  </r>
  <r>
    <x v="4"/>
    <s v="cci"/>
    <s v="Veterinary border inspection and quarantine measures are fully implemented in accordance with national regulations"/>
  </r>
  <r>
    <x v="5"/>
    <s v="dca"/>
    <s v="On-going surveillance system for rabies maintained"/>
  </r>
  <r>
    <x v="5"/>
    <s v="lab"/>
    <s v="On-going laboratory investigation of all suspected cases in domestic and wild animal species in the country"/>
  </r>
  <r>
    <x v="5"/>
    <s v="iec"/>
    <s v="Dog population management and responsible dog ownership campaigns are continued "/>
  </r>
  <r>
    <x v="5"/>
    <s v="pco"/>
    <s v="Modified protocols for PEP administration for rabies free areas implemented"/>
  </r>
  <r>
    <x v="5"/>
    <s v="pco"/>
    <s v="Based on risk assessment, dog vaccination campaigns are maintained where justified "/>
  </r>
  <r>
    <x v="5"/>
    <s v="pco"/>
    <s v="Capacity for outbreak and re-introduction response maintained"/>
  </r>
  <r>
    <x v="5"/>
    <s v="dpo"/>
    <s v="Dog population management and responsible dog ownership campaigns are continued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107:B114" firstHeaderRow="1" firstDataRow="1" firstDataCol="1"/>
  <pivotFields count="3">
    <pivotField axis="axisRow" showAll="0">
      <items count="7">
        <item x="0"/>
        <item x="1"/>
        <item x="2"/>
        <item x="3"/>
        <item x="4"/>
        <item x="5"/>
        <item t="default"/>
      </items>
    </pivotField>
    <pivotField showAll="0"/>
    <pivotField dataField="1" showAll="0"/>
  </pivotFields>
  <rowFields count="1">
    <field x="0"/>
  </rowFields>
  <rowItems count="7">
    <i>
      <x/>
    </i>
    <i>
      <x v="1"/>
    </i>
    <i>
      <x v="2"/>
    </i>
    <i>
      <x v="3"/>
    </i>
    <i>
      <x v="4"/>
    </i>
    <i>
      <x v="5"/>
    </i>
    <i t="grand">
      <x/>
    </i>
  </rowItems>
  <colItems count="1">
    <i/>
  </colItems>
  <dataFields count="1">
    <dataField name="Count of ACTIVITY"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showGridLines="0" workbookViewId="0">
      <selection activeCell="V25" sqref="V25"/>
    </sheetView>
  </sheetViews>
  <sheetFormatPr baseColWidth="10" defaultColWidth="8.7109375" defaultRowHeight="15" x14ac:dyDescent="0.25"/>
  <sheetData>
    <row r="1" spans="1:1" ht="18.75" x14ac:dyDescent="0.25">
      <c r="A1" s="36"/>
    </row>
    <row r="2" spans="1:1" x14ac:dyDescent="0.25">
      <c r="A2" s="8"/>
    </row>
  </sheetData>
  <pageMargins left="0.7" right="0.7" top="0.75" bottom="0.75" header="0.3" footer="0.3"/>
  <pageSetup paperSize="9" orientation="portrait"/>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134"/>
  <sheetViews>
    <sheetView showGridLines="0" topLeftCell="A6" zoomScale="76" zoomScaleNormal="76" zoomScalePageLayoutView="76" workbookViewId="0">
      <selection activeCell="F9" sqref="F9:F10"/>
    </sheetView>
  </sheetViews>
  <sheetFormatPr baseColWidth="10" defaultColWidth="8.7109375" defaultRowHeight="15" x14ac:dyDescent="0.25"/>
  <cols>
    <col min="1" max="1" width="38.85546875" customWidth="1"/>
    <col min="2" max="3" width="15.85546875" customWidth="1"/>
    <col min="4" max="4" width="8.28515625" customWidth="1"/>
    <col min="5" max="5" width="7.28515625" customWidth="1"/>
    <col min="6" max="6" width="28.42578125" customWidth="1"/>
    <col min="7" max="7" width="15.85546875" customWidth="1"/>
    <col min="8" max="8" width="15.85546875" style="59" customWidth="1"/>
    <col min="9" max="9" width="15.85546875" style="4" customWidth="1"/>
    <col min="10" max="10" width="15.85546875" style="11" customWidth="1"/>
  </cols>
  <sheetData>
    <row r="1" spans="1:10" ht="42.75" customHeight="1" thickBot="1" x14ac:dyDescent="0.3">
      <c r="A1" s="287" t="str">
        <f>CONCATENATE("L'Approche Raisonnée de l'Élimination de la Rage ( SARE ) - ",PAYS!E4," ",YEAR(PAYS!F14))</f>
        <v>L'Approche Raisonnée de l'Élimination de la Rage ( SARE ) - Côte d'Ivoire 2016</v>
      </c>
      <c r="B1" s="288"/>
      <c r="C1" s="288"/>
      <c r="D1" s="288"/>
      <c r="E1" s="288"/>
      <c r="F1" s="288"/>
      <c r="G1" s="288"/>
      <c r="H1" s="288"/>
      <c r="I1" s="288"/>
      <c r="J1" s="289"/>
    </row>
    <row r="2" spans="1:10" s="105" customFormat="1" ht="8.25" customHeight="1" thickBot="1" x14ac:dyDescent="0.3">
      <c r="A2" s="103"/>
      <c r="B2" s="103"/>
      <c r="C2" s="103"/>
      <c r="D2" s="104"/>
      <c r="E2" s="103"/>
      <c r="F2" s="103"/>
      <c r="G2" s="103"/>
      <c r="H2" s="103"/>
      <c r="I2" s="103"/>
      <c r="J2" s="103"/>
    </row>
    <row r="3" spans="1:10" ht="43.5" customHeight="1" thickBot="1" x14ac:dyDescent="0.3">
      <c r="A3" s="295" t="str">
        <f>CONCATENATE("ÉTAPE   ",((INDEX(E7:E18,MATCH("EN ATTENDANT",J7:J18,0)))))</f>
        <v>ÉTAPE   1.5</v>
      </c>
      <c r="B3" s="296"/>
      <c r="C3" s="296"/>
      <c r="D3" s="296"/>
      <c r="E3" s="296"/>
      <c r="F3" s="296"/>
      <c r="G3" s="296"/>
      <c r="H3" s="296"/>
      <c r="I3" s="296"/>
      <c r="J3" s="297"/>
    </row>
    <row r="4" spans="1:10" s="96" customFormat="1" ht="8.25" customHeight="1" thickBot="1" x14ac:dyDescent="0.3">
      <c r="A4" s="106"/>
      <c r="B4" s="107"/>
      <c r="C4" s="107"/>
      <c r="E4" s="108"/>
      <c r="F4" s="108"/>
      <c r="G4" s="108"/>
      <c r="H4" s="108"/>
      <c r="I4" s="108"/>
      <c r="J4" s="108"/>
    </row>
    <row r="5" spans="1:10" s="66" customFormat="1" ht="34.5" customHeight="1" thickBot="1" x14ac:dyDescent="0.35">
      <c r="A5" s="290" t="s">
        <v>554</v>
      </c>
      <c r="B5" s="291"/>
      <c r="C5" s="292"/>
      <c r="E5" s="276" t="s">
        <v>564</v>
      </c>
      <c r="F5" s="277"/>
      <c r="G5" s="277"/>
      <c r="H5" s="277"/>
      <c r="I5" s="277"/>
      <c r="J5" s="278"/>
    </row>
    <row r="6" spans="1:10" ht="48" thickBot="1" x14ac:dyDescent="0.3">
      <c r="A6" s="31" t="s">
        <v>285</v>
      </c>
      <c r="B6" s="41" t="s">
        <v>555</v>
      </c>
      <c r="C6" s="41" t="s">
        <v>556</v>
      </c>
      <c r="E6" s="293" t="s">
        <v>409</v>
      </c>
      <c r="F6" s="294"/>
      <c r="G6" s="41" t="s">
        <v>555</v>
      </c>
      <c r="H6" s="41" t="s">
        <v>556</v>
      </c>
      <c r="I6" s="79" t="s">
        <v>558</v>
      </c>
      <c r="J6" s="82" t="s">
        <v>557</v>
      </c>
    </row>
    <row r="7" spans="1:10" ht="30.75" customHeight="1" x14ac:dyDescent="0.25">
      <c r="A7" s="298" t="s">
        <v>559</v>
      </c>
      <c r="B7" s="67">
        <f>(COUNT(STATUS))-C7</f>
        <v>1</v>
      </c>
      <c r="C7" s="68">
        <f>SUM(LÉGISLATION!E:E)</f>
        <v>14</v>
      </c>
      <c r="E7" s="84">
        <v>0</v>
      </c>
      <c r="F7" s="282" t="s">
        <v>565</v>
      </c>
      <c r="G7" s="283">
        <f>COUNTIF('SUMMARY (Stage)'!B6:B10,"?*")+COUNTIF('SUMMARY (Stage)'!E6:E10,"?*")+COUNTIF('SUMMARY (Stage)'!H6:H10,"?*")+COUNTIF('SUMMARY (Stage)'!K6:K10,"?*")+COUNTIF('SUMMARY (Stage)'!N6:N10,"?*")+COUNTIF('SUMMARY (Stage)'!Q6:Q10,"?*")+COUNTIF('SUMMARY (Stage)'!T6:T10,"?*")</f>
        <v>0</v>
      </c>
      <c r="H7" s="283">
        <f>COUNTIF('SUMMARY (Stage)'!C6:C10,"?*")+COUNTIF('SUMMARY (Stage)'!F6:F10,"?*")+COUNTIF('SUMMARY (Stage)'!I6:I10,"?*")+COUNTIF('SUMMARY (Stage)'!L6:L10,"?*")+COUNTIF('SUMMARY (Stage)'!O6:O10,"?*")+COUNTIF('SUMMARY (Stage)'!R6:R10,"?*")+COUNTIF('SUMMARY (Stage)'!U6:U10,"?*")</f>
        <v>7</v>
      </c>
      <c r="I7" s="284">
        <f>COUNTIF(LÉGISLATION!E11,"1")+COUNTIF('DIAGNOSTIC DE LABORATOIRE'!E5,"1")+COUNTIF('DIAGNOSTIC DE LABORATOIRE'!E6,"1")+COUNTIF('DIAGNOSTIC DE LABORATOIRE'!E7,"1")</f>
        <v>4</v>
      </c>
      <c r="J7" s="206" t="str">
        <f>IF(I7&gt;=2,"TERMINÉ",IF(AND(I7&gt;=1,H7&gt;=4),"TERMINÉ","EN ATTENDANT"))</f>
        <v>TERMINÉ</v>
      </c>
    </row>
    <row r="8" spans="1:10" ht="30.75" customHeight="1" x14ac:dyDescent="0.25">
      <c r="A8" s="299"/>
      <c r="B8" s="67"/>
      <c r="C8" s="68"/>
      <c r="E8" s="85">
        <v>0.5</v>
      </c>
      <c r="F8" s="279"/>
      <c r="G8" s="280"/>
      <c r="H8" s="280"/>
      <c r="I8" s="281"/>
      <c r="J8" s="207" t="str">
        <f>IF(I7=4,"TERMINÉ","EN ATTENDANT")</f>
        <v>TERMINÉ</v>
      </c>
    </row>
    <row r="9" spans="1:10" ht="30.75" customHeight="1" x14ac:dyDescent="0.25">
      <c r="A9" s="299" t="s">
        <v>560</v>
      </c>
      <c r="B9" s="67">
        <f>(COUNT(datastatus)-'SUMMARY (Score)'!C9)</f>
        <v>2</v>
      </c>
      <c r="C9" s="68">
        <f>SUM('COLLECTE DE DONNÉES ET ANALYSE'!E:E)</f>
        <v>16</v>
      </c>
      <c r="E9" s="86">
        <v>1</v>
      </c>
      <c r="F9" s="285" t="s">
        <v>566</v>
      </c>
      <c r="G9" s="272">
        <f>COUNTIF('SUMMARY (Stage)'!B11:B19,"?*")+COUNTIF('SUMMARY (Stage)'!E11:E19,"?*")+COUNTIF('SUMMARY (Stage)'!H11:H19,"?*")+COUNTIF('SUMMARY (Stage)'!K11:K19,"?*")+COUNTIF('SUMMARY (Stage)'!N11:N19,"?*")+COUNTIF('SUMMARY (Stage)'!Q11:Q19,"?*")+COUNTIF('SUMMARY (Stage)'!T11:T19,"?*")</f>
        <v>3</v>
      </c>
      <c r="H9" s="272">
        <f>COUNTIF('SUMMARY (Stage)'!C11:C19,"?*")+COUNTIF('SUMMARY (Stage)'!F11:F19,"?*")+COUNTIF('SUMMARY (Stage)'!I11:I19,"?*")+COUNTIF('SUMMARY (Stage)'!L11:L19,"?*")+COUNTIF('SUMMARY (Stage)'!O11:O19,"?*")+COUNTIF('SUMMARY (Stage)'!R11:R19,"?*")+COUNTIF('SUMMARY (Stage)'!U11:U19,"?*")</f>
        <v>27</v>
      </c>
      <c r="I9" s="274">
        <f>COUNTIF(LÉGISLATION!E14,"1")+COUNTIF(LÉGISLATION!E15,"1")+COUNTIF('COLLECTE DE DONNÉES ET ANALYSE'!E5,"1")+COUNTIF('COLLECTE DE DONNÉES ET ANALYSE'!E6,"1")+COUNTIF('QUESTIONS TRANSVERSALES'!E11,"1")+COUNTIF('PRÉVENTION ET DE CONTRÔLE'!E5,"1")+COUNTIF('PRÉVENTION ET DE CONTRÔLE'!E12,"1")+COUNTIF('QUESTIONS TRANSVERSALES'!E8,"1")+COUNTIF('DIAGNOSTIC DE LABORATOIRE'!E8,"1")+COUNTIF('INFORMATION, ÉDUCTION ET LA COM'!E11,"1")</f>
        <v>9</v>
      </c>
      <c r="J9" s="208" t="str">
        <f>IF(I9&gt;=5,"TERMINÉ",IF(AND(I9&gt;=1,H9&gt;16),"TERMINÉ","EN ATTENDANT"))</f>
        <v>TERMINÉ</v>
      </c>
    </row>
    <row r="10" spans="1:10" ht="30.75" customHeight="1" x14ac:dyDescent="0.25">
      <c r="A10" s="299"/>
      <c r="B10" s="67"/>
      <c r="C10" s="68"/>
      <c r="E10" s="87">
        <v>1.5</v>
      </c>
      <c r="F10" s="286"/>
      <c r="G10" s="273"/>
      <c r="H10" s="273"/>
      <c r="I10" s="275"/>
      <c r="J10" s="209" t="str">
        <f>IF(I9=10,"TERMINÉ","EN ATTENDANT")</f>
        <v>EN ATTENDANT</v>
      </c>
    </row>
    <row r="11" spans="1:10" ht="30.75" customHeight="1" x14ac:dyDescent="0.25">
      <c r="A11" s="299" t="s">
        <v>561</v>
      </c>
      <c r="B11" s="67">
        <f>COUNT(labstatus)-'SUMMARY (Score)'!C11</f>
        <v>3</v>
      </c>
      <c r="C11" s="68">
        <f>SUM('DIAGNOSTIC DE LABORATOIRE'!E:E)</f>
        <v>8</v>
      </c>
      <c r="E11" s="86">
        <v>2</v>
      </c>
      <c r="F11" s="285" t="s">
        <v>567</v>
      </c>
      <c r="G11" s="272">
        <f>COUNTIF('SUMMARY (Stage)'!B20:B28,"?*")+COUNTIF('SUMMARY (Stage)'!E20:E28,"?*")+COUNTIF('SUMMARY (Stage)'!H20:H28,"?*")+COUNTIF('SUMMARY (Stage)'!K20:K28,"?*")+COUNTIF('SUMMARY (Stage)'!N20:N28,"?*")+COUNTIF('SUMMARY (Stage)'!Q20:Q28,"?*")+COUNTIF('SUMMARY (Stage)'!T20:T28,"?*")</f>
        <v>2</v>
      </c>
      <c r="H11" s="272">
        <f>COUNTIF('SUMMARY (Stage)'!C20:C28,"?*")+COUNTIF('SUMMARY (Stage)'!F20:F28,"?*")+COUNTIF('SUMMARY (Stage)'!I20:I28,"?*")+COUNTIF('SUMMARY (Stage)'!L20:L28,"?*")+COUNTIF('SUMMARY (Stage)'!O20:O28,"?*")+COUNTIF('SUMMARY (Stage)'!R20:R28,"?*")+COUNTIF('SUMMARY (Stage)'!U20:U28,"?*")</f>
        <v>23</v>
      </c>
      <c r="I11" s="274">
        <f>COUNTIF(LÉGISLATION!E18,"1")+COUNTIF('COLLECTE DE DONNÉES ET ANALYSE'!E14,"1")+COUNTIF('PRÉVENTION ET DE CONTRÔLE'!E7,"1")+COUNTIF('PRÉVENTION ET DE CONTRÔLE'!E9,"1")+COUNTIF('PRÉVENTION ET DE CONTRÔLE'!E15,"1")+COUNTIF('INFORMATION, ÉDUCTION ET LA COM'!E13,"1")+COUNTIF('QUESTIONS TRANSVERSALES'!E13,"1")+COUNTIF('QUESTIONS TRANSVERSALES'!E14,"1")</f>
        <v>6</v>
      </c>
      <c r="J11" s="208" t="str">
        <f>IF(I11&gt;=4,"TERMINÉ",IF(AND(I11&gt;=1,H11&gt;13),"TERMINÉ","EN ATTENDANT"))</f>
        <v>TERMINÉ</v>
      </c>
    </row>
    <row r="12" spans="1:10" ht="30.75" customHeight="1" x14ac:dyDescent="0.25">
      <c r="A12" s="299"/>
      <c r="B12" s="67"/>
      <c r="C12" s="68"/>
      <c r="E12" s="87">
        <v>2.5</v>
      </c>
      <c r="F12" s="286"/>
      <c r="G12" s="273"/>
      <c r="H12" s="273"/>
      <c r="I12" s="275"/>
      <c r="J12" s="209" t="str">
        <f>IF(I11=8,"TERMINÉ","EN ATTENDANT")</f>
        <v>EN ATTENDANT</v>
      </c>
    </row>
    <row r="13" spans="1:10" ht="30.75" customHeight="1" x14ac:dyDescent="0.25">
      <c r="A13" s="299" t="s">
        <v>578</v>
      </c>
      <c r="B13" s="67">
        <f>COUNT(iecstatus)-'SUMMARY (Score)'!C13</f>
        <v>3</v>
      </c>
      <c r="C13" s="68">
        <f>SUM('INFORMATION, ÉDUCTION ET LA COM'!E:E)</f>
        <v>13</v>
      </c>
      <c r="E13" s="85">
        <v>3</v>
      </c>
      <c r="F13" s="279" t="s">
        <v>568</v>
      </c>
      <c r="G13" s="280">
        <f>COUNTIF('SUMMARY (Stage)'!B29:B37,"?*")+COUNTIF('SUMMARY (Stage)'!E29:E37,"?*")+COUNTIF('SUMMARY (Stage)'!H29:H37,"?*")+COUNTIF('SUMMARY (Stage)'!K29:K37,"?*")+COUNTIF('SUMMARY (Stage)'!N29:N37,"?*")+COUNTIF('SUMMARY (Stage)'!Q29:Q37,"?*")+COUNTIF('SUMMARY (Stage)'!T29:T37,"?*")</f>
        <v>11</v>
      </c>
      <c r="H13" s="280">
        <f>COUNTIF('SUMMARY (Stage)'!C29:C37,"?*")+COUNTIF('SUMMARY (Stage)'!F29:F37,"?*")+COUNTIF('SUMMARY (Stage)'!I29:I37,"?*")+COUNTIF('SUMMARY (Stage)'!L29:L37,"?*")+COUNTIF('SUMMARY (Stage)'!O29:O37,"?*")+COUNTIF('SUMMARY (Stage)'!R29:R37,"?*")+COUNTIF('SUMMARY (Stage)'!U29:U37,"?*")</f>
        <v>7</v>
      </c>
      <c r="I13" s="281">
        <f>COUNTIF('COLLECTE DE DONNÉES ET ANALYSE'!E15,"1")+COUNTIF('COLLECTE DE DONNÉES ET ANALYSE'!E16,"1")+COUNTIF('COLLECTE DE DONNÉES ET ANALYSE'!E17,"1")+COUNTIF('PRÉVENTION ET DE CONTRÔLE'!E10,"1")+COUNTIF('PRÉVENTION ET DE CONTRÔLE'!E25,"1")+COUNTIF('INFORMATION, ÉDUCTION ET LA COM'!E14,"1")+COUNTIF('PRÉVENTION ET DE CONTRÔLE'!E16,"1")+COUNTIF('PRÉVENTION ET DE CONTRÔLE'!E17,"1")+COUNTIF('INFORMATION, ÉDUCTION ET LA COM'!E10,"1")</f>
        <v>4</v>
      </c>
      <c r="J13" s="207" t="str">
        <f>IF(I13&gt;4,"TERMINÉ",IF(AND(I13&gt;=1,H13&gt;9),"TERMINÉ","EN ATTENDANT"))</f>
        <v>EN ATTENDANT</v>
      </c>
    </row>
    <row r="14" spans="1:10" ht="30.75" customHeight="1" x14ac:dyDescent="0.25">
      <c r="A14" s="299"/>
      <c r="B14" s="67"/>
      <c r="C14" s="68"/>
      <c r="E14" s="85">
        <v>3.5</v>
      </c>
      <c r="F14" s="279"/>
      <c r="G14" s="280"/>
      <c r="H14" s="280"/>
      <c r="I14" s="281"/>
      <c r="J14" s="207" t="str">
        <f>IF(I13=9,"TERMINÉ","EN ATTENDANT")</f>
        <v>EN ATTENDANT</v>
      </c>
    </row>
    <row r="15" spans="1:10" ht="30.75" customHeight="1" x14ac:dyDescent="0.25">
      <c r="A15" s="299" t="s">
        <v>562</v>
      </c>
      <c r="B15" s="67">
        <f>COUNT(prevstatus)-'SUMMARY (Score)'!C15</f>
        <v>11</v>
      </c>
      <c r="C15" s="68">
        <f>SUM('PRÉVENTION ET DE CONTRÔLE'!E:E)</f>
        <v>14</v>
      </c>
      <c r="E15" s="86">
        <v>4</v>
      </c>
      <c r="F15" s="285" t="s">
        <v>569</v>
      </c>
      <c r="G15" s="272">
        <f>COUNTIF('SUMMARY (Stage)'!B38:B46,"?*")+COUNTIF('SUMMARY (Stage)'!E38:E46,"?*")+COUNTIF('SUMMARY (Stage)'!H38:H46,"?*")+COUNTIF('SUMMARY (Stage)'!K38:K46,"?*")+COUNTIF('SUMMARY (Stage)'!N38:N46,"?*")+COUNTIF('SUMMARY (Stage)'!Q38:Q46,"?*")+COUNTIF('SUMMARY (Stage)'!T38:T46,"?*")</f>
        <v>8</v>
      </c>
      <c r="H15" s="272">
        <f>COUNTIF('SUMMARY (Stage)'!C38:C46,"?*")+COUNTIF('SUMMARY (Stage)'!F38:F46,"?*")+COUNTIF('SUMMARY (Stage)'!I38:I46,"?*")+COUNTIF('SUMMARY (Stage)'!L38:L46,"?*")+COUNTIF('SUMMARY (Stage)'!O38:O46,"?*")+COUNTIF('SUMMARY (Stage)'!R38:R46,"?*")+COUNTIF('SUMMARY (Stage)'!U38:U46,"?*")</f>
        <v>4</v>
      </c>
      <c r="I15" s="274">
        <f>COUNTIF('DIAGNOSTIC DE LABORATOIRE'!E13,"1")+COUNTIF('COLLECTE DE DONNÉES ET ANALYSE'!E18,"1")+COUNTIF('COLLECTE DE DONNÉES ET ANALYSE'!E19,"1")+COUNTIF('PRÉVENTION ET DE CONTRÔLE'!E18,"1")+COUNTIF('PRÉVENTION ET DE CONTRÔLE'!E26,"1")+COUNTIF(LÉGISLATION!E19,"1")+COUNTIF('PRÉVENTION ET DE CONTRÔLE'!E28,"1")</f>
        <v>3</v>
      </c>
      <c r="J15" s="208" t="str">
        <f>IF(I15&gt;3,"TERMINÉ",IF(AND(I15&gt;=1,H15&gt;6),"TERMINÉ","EN ATTENDANT"))</f>
        <v>EN ATTENDANT</v>
      </c>
    </row>
    <row r="16" spans="1:10" ht="30.75" customHeight="1" x14ac:dyDescent="0.25">
      <c r="A16" s="299"/>
      <c r="B16" s="67"/>
      <c r="C16" s="68"/>
      <c r="E16" s="87">
        <v>4.5</v>
      </c>
      <c r="F16" s="286"/>
      <c r="G16" s="273"/>
      <c r="H16" s="273"/>
      <c r="I16" s="275"/>
      <c r="J16" s="209" t="str">
        <f>IF(I15=7,"TERMINÉ","EN ATTENDANT")</f>
        <v>EN ATTENDANT</v>
      </c>
    </row>
    <row r="17" spans="1:11" ht="30.75" customHeight="1" thickBot="1" x14ac:dyDescent="0.3">
      <c r="A17" s="299" t="s">
        <v>579</v>
      </c>
      <c r="B17" s="67" t="e">
        <f>(COUNT(dogstatus)-'SUMMARY (Score)'!C17)</f>
        <v>#REF!</v>
      </c>
      <c r="C17" s="68" t="e">
        <f>SUM(#REF!)</f>
        <v>#REF!</v>
      </c>
      <c r="E17" s="88">
        <v>5</v>
      </c>
      <c r="F17" s="81" t="s">
        <v>570</v>
      </c>
      <c r="G17" s="70">
        <f>COUNTIF('SUMMARY (Stage)'!B47:B55,"?*")+COUNTIF('SUMMARY (Stage)'!E47:E55,"?*")+COUNTIF('SUMMARY (Stage)'!H47:H55,"?*")+COUNTIF('SUMMARY (Stage)'!K47:K55,"?*")+COUNTIF('SUMMARY (Stage)'!N47:N55,"?*")+COUNTIF('SUMMARY (Stage)'!Q47:Q55,"?*")+COUNTIF('SUMMARY (Stage)'!T47:T55,"?*")</f>
        <v>4</v>
      </c>
      <c r="H17" s="70">
        <f>COUNTIF('SUMMARY (Stage)'!C47:C55,"?*")+COUNTIF('SUMMARY (Stage)'!F47:F55,"?*")+COUNTIF('SUMMARY (Stage)'!I47:I55,"?*")+COUNTIF('SUMMARY (Stage)'!L47:L55,"?*")+COUNTIF('SUMMARY (Stage)'!O47:O55,"?*")+COUNTIF('SUMMARY (Stage)'!R47:R55,"?*")+COUNTIF('SUMMARY (Stage)'!U47:U55,"?*")</f>
        <v>2</v>
      </c>
      <c r="I17" s="80">
        <f>H17</f>
        <v>2</v>
      </c>
      <c r="J17" s="210" t="str">
        <f>IF(I17=7,"TERMINÉ","EN ATTENDANT")</f>
        <v>EN ATTENDANT</v>
      </c>
    </row>
    <row r="18" spans="1:11" ht="30.75" customHeight="1" x14ac:dyDescent="0.25">
      <c r="A18" s="299"/>
      <c r="B18" s="67"/>
      <c r="C18" s="68"/>
      <c r="E18" s="195">
        <v>5</v>
      </c>
      <c r="G18" s="59"/>
      <c r="J18" s="16" t="s">
        <v>575</v>
      </c>
    </row>
    <row r="19" spans="1:11" ht="30.75" customHeight="1" thickBot="1" x14ac:dyDescent="0.3">
      <c r="A19" s="109" t="s">
        <v>563</v>
      </c>
      <c r="B19" s="110">
        <f>COUNT(crossstatus)-'SUMMARY (Score)'!C19</f>
        <v>7</v>
      </c>
      <c r="C19" s="69">
        <f>SUM('QUESTIONS TRANSVERSALES'!E:E)</f>
        <v>5</v>
      </c>
      <c r="G19" s="59"/>
    </row>
    <row r="20" spans="1:11" x14ac:dyDescent="0.25">
      <c r="B20" s="55"/>
      <c r="G20" s="59"/>
    </row>
    <row r="21" spans="1:11" x14ac:dyDescent="0.25">
      <c r="B21" s="55"/>
      <c r="G21" s="59"/>
    </row>
    <row r="22" spans="1:11" x14ac:dyDescent="0.25">
      <c r="B22" s="55"/>
      <c r="G22" s="59"/>
    </row>
    <row r="23" spans="1:11" x14ac:dyDescent="0.25">
      <c r="B23" s="55"/>
      <c r="G23" s="59"/>
    </row>
    <row r="24" spans="1:11" x14ac:dyDescent="0.25">
      <c r="B24" s="55"/>
      <c r="G24" s="59"/>
    </row>
    <row r="25" spans="1:11" ht="17.25" x14ac:dyDescent="0.3">
      <c r="A25" s="65" t="s">
        <v>380</v>
      </c>
      <c r="G25" s="59"/>
    </row>
    <row r="27" spans="1:11" x14ac:dyDescent="0.25">
      <c r="H27" s="13"/>
      <c r="I27" s="13"/>
      <c r="J27" s="7"/>
      <c r="K27" s="13"/>
    </row>
    <row r="28" spans="1:11" x14ac:dyDescent="0.25">
      <c r="H28" s="13"/>
      <c r="I28" s="13"/>
      <c r="J28" s="7"/>
      <c r="K28" s="13"/>
    </row>
    <row r="29" spans="1:11" ht="15.75" customHeight="1" x14ac:dyDescent="0.25">
      <c r="J29" s="7"/>
      <c r="K29" s="13"/>
    </row>
    <row r="30" spans="1:11" ht="15.75" customHeight="1" x14ac:dyDescent="0.25">
      <c r="J30" s="7"/>
      <c r="K30" s="13"/>
    </row>
    <row r="31" spans="1:11" x14ac:dyDescent="0.25">
      <c r="J31" s="7"/>
      <c r="K31" s="13"/>
    </row>
    <row r="32" spans="1:11" x14ac:dyDescent="0.25">
      <c r="J32" s="7"/>
      <c r="K32" s="13"/>
    </row>
    <row r="33" spans="8:11" x14ac:dyDescent="0.25">
      <c r="H33" s="13"/>
      <c r="I33" s="13"/>
      <c r="J33" s="7"/>
      <c r="K33" s="13"/>
    </row>
    <row r="34" spans="8:11" x14ac:dyDescent="0.25">
      <c r="H34" s="13"/>
      <c r="I34" s="13"/>
      <c r="J34" s="7"/>
      <c r="K34" s="13"/>
    </row>
    <row r="35" spans="8:11" x14ac:dyDescent="0.25">
      <c r="H35" s="13"/>
      <c r="I35" s="13"/>
      <c r="J35" s="7"/>
      <c r="K35" s="13"/>
    </row>
    <row r="36" spans="8:11" x14ac:dyDescent="0.25">
      <c r="H36" s="13"/>
      <c r="I36" s="13"/>
      <c r="J36" s="7"/>
      <c r="K36" s="13"/>
    </row>
    <row r="37" spans="8:11" x14ac:dyDescent="0.25">
      <c r="H37" s="13"/>
      <c r="I37" s="13"/>
      <c r="J37" s="7"/>
      <c r="K37" s="13"/>
    </row>
    <row r="38" spans="8:11" x14ac:dyDescent="0.25">
      <c r="H38" s="13"/>
      <c r="I38" s="13"/>
      <c r="J38" s="7"/>
      <c r="K38" s="13"/>
    </row>
    <row r="39" spans="8:11" x14ac:dyDescent="0.25">
      <c r="H39" s="13"/>
      <c r="I39" s="13"/>
      <c r="J39" s="7"/>
      <c r="K39" s="13"/>
    </row>
    <row r="40" spans="8:11" x14ac:dyDescent="0.25">
      <c r="H40" s="13"/>
      <c r="I40" s="13"/>
      <c r="J40" s="7"/>
      <c r="K40" s="13"/>
    </row>
    <row r="41" spans="8:11" x14ac:dyDescent="0.25">
      <c r="H41" s="13"/>
      <c r="I41" s="13"/>
      <c r="J41" s="7"/>
      <c r="K41" s="13"/>
    </row>
    <row r="42" spans="8:11" x14ac:dyDescent="0.25">
      <c r="H42" s="13"/>
      <c r="I42" s="13"/>
      <c r="J42" s="7"/>
      <c r="K42" s="13"/>
    </row>
    <row r="43" spans="8:11" x14ac:dyDescent="0.25">
      <c r="H43" s="13"/>
      <c r="I43" s="13"/>
      <c r="J43" s="7"/>
      <c r="K43" s="13"/>
    </row>
    <row r="44" spans="8:11" x14ac:dyDescent="0.25">
      <c r="H44" s="13"/>
      <c r="I44" s="13"/>
      <c r="J44" s="7"/>
      <c r="K44" s="13"/>
    </row>
    <row r="45" spans="8:11" x14ac:dyDescent="0.25">
      <c r="H45" s="13"/>
      <c r="I45" s="13"/>
      <c r="J45" s="7"/>
      <c r="K45" s="13"/>
    </row>
    <row r="46" spans="8:11" x14ac:dyDescent="0.25">
      <c r="H46" s="13"/>
      <c r="I46" s="13"/>
      <c r="J46" s="7"/>
      <c r="K46" s="13"/>
    </row>
    <row r="47" spans="8:11" x14ac:dyDescent="0.25">
      <c r="H47" s="13"/>
      <c r="I47" s="13"/>
      <c r="J47" s="7"/>
      <c r="K47" s="13"/>
    </row>
    <row r="48" spans="8:11" x14ac:dyDescent="0.25">
      <c r="H48" s="13"/>
      <c r="I48" s="13"/>
      <c r="J48" s="7"/>
      <c r="K48" s="13"/>
    </row>
    <row r="49" spans="8:11" x14ac:dyDescent="0.25">
      <c r="H49" s="13"/>
      <c r="I49" s="13"/>
      <c r="J49" s="7"/>
      <c r="K49" s="13"/>
    </row>
    <row r="50" spans="8:11" x14ac:dyDescent="0.25">
      <c r="H50" s="13"/>
      <c r="I50" s="13"/>
      <c r="J50" s="7"/>
      <c r="K50" s="13"/>
    </row>
    <row r="51" spans="8:11" x14ac:dyDescent="0.25">
      <c r="H51" s="13"/>
      <c r="I51" s="13"/>
      <c r="J51" s="7"/>
      <c r="K51" s="13"/>
    </row>
    <row r="52" spans="8:11" x14ac:dyDescent="0.25">
      <c r="H52" s="13"/>
      <c r="I52" s="13"/>
      <c r="J52" s="7"/>
      <c r="K52" s="13"/>
    </row>
    <row r="53" spans="8:11" x14ac:dyDescent="0.25">
      <c r="H53" s="13"/>
      <c r="I53" s="13"/>
      <c r="J53" s="7"/>
      <c r="K53" s="13"/>
    </row>
    <row r="54" spans="8:11" x14ac:dyDescent="0.25">
      <c r="H54" s="13"/>
      <c r="I54" s="13"/>
      <c r="J54" s="7"/>
      <c r="K54" s="13"/>
    </row>
    <row r="55" spans="8:11" x14ac:dyDescent="0.25">
      <c r="H55" s="13"/>
      <c r="I55" s="13"/>
      <c r="J55" s="7"/>
      <c r="K55" s="13"/>
    </row>
    <row r="56" spans="8:11" x14ac:dyDescent="0.25">
      <c r="H56" s="13"/>
      <c r="I56" s="13"/>
      <c r="J56" s="7"/>
      <c r="K56" s="13"/>
    </row>
    <row r="57" spans="8:11" x14ac:dyDescent="0.25">
      <c r="J57" s="7"/>
      <c r="K57" s="13"/>
    </row>
    <row r="58" spans="8:11" x14ac:dyDescent="0.25">
      <c r="J58" s="7"/>
      <c r="K58" s="13"/>
    </row>
    <row r="59" spans="8:11" x14ac:dyDescent="0.25">
      <c r="J59" s="7"/>
      <c r="K59" s="13"/>
    </row>
    <row r="60" spans="8:11" x14ac:dyDescent="0.25">
      <c r="J60" s="7"/>
      <c r="K60" s="13"/>
    </row>
    <row r="61" spans="8:11" x14ac:dyDescent="0.25">
      <c r="J61" s="7"/>
      <c r="K61" s="13"/>
    </row>
    <row r="62" spans="8:11" x14ac:dyDescent="0.25">
      <c r="J62" s="7"/>
      <c r="K62" s="13"/>
    </row>
    <row r="63" spans="8:11" x14ac:dyDescent="0.25">
      <c r="J63" s="7"/>
      <c r="K63" s="13"/>
    </row>
    <row r="64" spans="8:11" x14ac:dyDescent="0.25">
      <c r="J64" s="7"/>
      <c r="K64" s="13"/>
    </row>
    <row r="65" spans="8:11" x14ac:dyDescent="0.25">
      <c r="J65" s="7"/>
      <c r="K65" s="13"/>
    </row>
    <row r="66" spans="8:11" x14ac:dyDescent="0.25">
      <c r="J66" s="7"/>
      <c r="K66" s="13"/>
    </row>
    <row r="67" spans="8:11" x14ac:dyDescent="0.25">
      <c r="J67" s="7"/>
      <c r="K67" s="13"/>
    </row>
    <row r="68" spans="8:11" x14ac:dyDescent="0.25">
      <c r="J68" s="7"/>
      <c r="K68" s="13"/>
    </row>
    <row r="69" spans="8:11" x14ac:dyDescent="0.25">
      <c r="H69" s="13"/>
      <c r="I69" s="13"/>
      <c r="J69" s="7"/>
      <c r="K69" s="13"/>
    </row>
    <row r="70" spans="8:11" x14ac:dyDescent="0.25">
      <c r="H70" s="13"/>
      <c r="I70" s="13"/>
      <c r="J70" s="7"/>
      <c r="K70" s="13"/>
    </row>
    <row r="71" spans="8:11" x14ac:dyDescent="0.25">
      <c r="J71" s="7"/>
      <c r="K71" s="13"/>
    </row>
    <row r="72" spans="8:11" x14ac:dyDescent="0.25">
      <c r="J72" s="7"/>
      <c r="K72" s="13"/>
    </row>
    <row r="73" spans="8:11" x14ac:dyDescent="0.25">
      <c r="J73" s="7"/>
      <c r="K73" s="13"/>
    </row>
    <row r="74" spans="8:11" x14ac:dyDescent="0.25">
      <c r="J74" s="7"/>
      <c r="K74" s="13"/>
    </row>
    <row r="75" spans="8:11" x14ac:dyDescent="0.25">
      <c r="J75" s="7"/>
      <c r="K75" s="13"/>
    </row>
    <row r="76" spans="8:11" x14ac:dyDescent="0.25">
      <c r="J76" s="7"/>
      <c r="K76" s="13"/>
    </row>
    <row r="77" spans="8:11" x14ac:dyDescent="0.25">
      <c r="J77" s="7"/>
      <c r="K77" s="13"/>
    </row>
    <row r="78" spans="8:11" x14ac:dyDescent="0.25">
      <c r="J78" s="7"/>
      <c r="K78" s="13"/>
    </row>
    <row r="79" spans="8:11" x14ac:dyDescent="0.25">
      <c r="H79" s="13"/>
      <c r="I79" s="13"/>
      <c r="J79" s="7"/>
      <c r="K79" s="13"/>
    </row>
    <row r="80" spans="8:11" x14ac:dyDescent="0.25">
      <c r="H80" s="13"/>
      <c r="I80" s="13"/>
      <c r="J80" s="7"/>
      <c r="K80" s="13"/>
    </row>
    <row r="81" spans="8:11" x14ac:dyDescent="0.25">
      <c r="H81" s="13"/>
      <c r="I81" s="13"/>
      <c r="J81" s="7"/>
      <c r="K81" s="13"/>
    </row>
    <row r="82" spans="8:11" x14ac:dyDescent="0.25">
      <c r="H82" s="13"/>
      <c r="I82" s="13"/>
      <c r="J82" s="7"/>
      <c r="K82" s="13"/>
    </row>
    <row r="83" spans="8:11" x14ac:dyDescent="0.25">
      <c r="H83" s="13"/>
      <c r="I83" s="13"/>
      <c r="J83" s="7"/>
      <c r="K83" s="13"/>
    </row>
    <row r="84" spans="8:11" x14ac:dyDescent="0.25">
      <c r="H84" s="13"/>
      <c r="I84" s="13"/>
      <c r="J84" s="7"/>
      <c r="K84" s="13"/>
    </row>
    <row r="85" spans="8:11" x14ac:dyDescent="0.25">
      <c r="H85" s="13"/>
      <c r="I85" s="13"/>
      <c r="J85" s="7"/>
      <c r="K85" s="13"/>
    </row>
    <row r="86" spans="8:11" x14ac:dyDescent="0.25">
      <c r="H86" s="13"/>
      <c r="I86" s="13"/>
      <c r="J86" s="7"/>
      <c r="K86" s="13"/>
    </row>
    <row r="87" spans="8:11" x14ac:dyDescent="0.25">
      <c r="H87" s="13"/>
      <c r="I87" s="13"/>
      <c r="J87" s="7"/>
      <c r="K87" s="13"/>
    </row>
    <row r="88" spans="8:11" x14ac:dyDescent="0.25">
      <c r="H88" s="13"/>
      <c r="I88" s="13"/>
      <c r="J88" s="7"/>
      <c r="K88" s="13"/>
    </row>
    <row r="89" spans="8:11" x14ac:dyDescent="0.25">
      <c r="H89" s="13"/>
      <c r="I89" s="13"/>
      <c r="J89" s="7"/>
      <c r="K89" s="13"/>
    </row>
    <row r="90" spans="8:11" x14ac:dyDescent="0.25">
      <c r="H90" s="13"/>
      <c r="I90" s="13"/>
      <c r="J90" s="7"/>
      <c r="K90" s="13"/>
    </row>
    <row r="91" spans="8:11" x14ac:dyDescent="0.25">
      <c r="H91" s="13"/>
      <c r="I91" s="13"/>
      <c r="J91" s="7"/>
      <c r="K91" s="13"/>
    </row>
    <row r="92" spans="8:11" x14ac:dyDescent="0.25">
      <c r="H92" s="13"/>
      <c r="I92" s="13"/>
      <c r="J92" s="7"/>
      <c r="K92" s="13"/>
    </row>
    <row r="93" spans="8:11" x14ac:dyDescent="0.25">
      <c r="H93" s="13"/>
      <c r="I93" s="13"/>
      <c r="J93" s="7"/>
      <c r="K93" s="13"/>
    </row>
    <row r="94" spans="8:11" x14ac:dyDescent="0.25">
      <c r="H94" s="13"/>
      <c r="I94" s="13"/>
      <c r="J94" s="7"/>
      <c r="K94" s="13"/>
    </row>
    <row r="95" spans="8:11" x14ac:dyDescent="0.25">
      <c r="J95" s="7"/>
      <c r="K95" s="13"/>
    </row>
    <row r="96" spans="8:11" x14ac:dyDescent="0.25">
      <c r="J96" s="7"/>
      <c r="K96" s="13"/>
    </row>
    <row r="97" spans="8:11" x14ac:dyDescent="0.25">
      <c r="J97" s="7"/>
      <c r="K97" s="13"/>
    </row>
    <row r="98" spans="8:11" x14ac:dyDescent="0.25">
      <c r="J98" s="7"/>
      <c r="K98" s="13"/>
    </row>
    <row r="99" spans="8:11" x14ac:dyDescent="0.25">
      <c r="J99" s="7"/>
      <c r="K99" s="13"/>
    </row>
    <row r="100" spans="8:11" x14ac:dyDescent="0.25">
      <c r="J100" s="7"/>
      <c r="K100" s="13"/>
    </row>
    <row r="101" spans="8:11" x14ac:dyDescent="0.25">
      <c r="J101" s="7"/>
      <c r="K101" s="13"/>
    </row>
    <row r="102" spans="8:11" x14ac:dyDescent="0.25">
      <c r="J102" s="7"/>
      <c r="K102" s="13"/>
    </row>
    <row r="103" spans="8:11" x14ac:dyDescent="0.25">
      <c r="J103" s="7"/>
      <c r="K103" s="13"/>
    </row>
    <row r="104" spans="8:11" x14ac:dyDescent="0.25">
      <c r="H104" s="13"/>
      <c r="I104" s="13"/>
      <c r="J104" s="7"/>
      <c r="K104" s="13"/>
    </row>
    <row r="105" spans="8:11" x14ac:dyDescent="0.25">
      <c r="H105" s="13"/>
      <c r="I105" s="13"/>
      <c r="J105" s="7"/>
      <c r="K105" s="13"/>
    </row>
    <row r="106" spans="8:11" x14ac:dyDescent="0.25">
      <c r="H106" s="13"/>
      <c r="I106" s="13"/>
      <c r="J106" s="7"/>
      <c r="K106" s="13"/>
    </row>
    <row r="107" spans="8:11" x14ac:dyDescent="0.25">
      <c r="H107" s="13"/>
      <c r="I107" s="13"/>
      <c r="J107" s="7"/>
      <c r="K107" s="13"/>
    </row>
    <row r="108" spans="8:11" x14ac:dyDescent="0.25">
      <c r="J108" s="7"/>
      <c r="K108" s="13"/>
    </row>
    <row r="109" spans="8:11" x14ac:dyDescent="0.25">
      <c r="J109" s="7"/>
      <c r="K109" s="13"/>
    </row>
    <row r="110" spans="8:11" x14ac:dyDescent="0.25">
      <c r="J110" s="7"/>
      <c r="K110" s="13"/>
    </row>
    <row r="111" spans="8:11" x14ac:dyDescent="0.25">
      <c r="J111" s="7"/>
      <c r="K111" s="13"/>
    </row>
    <row r="112" spans="8:11" x14ac:dyDescent="0.25">
      <c r="J112" s="7"/>
      <c r="K112" s="13"/>
    </row>
    <row r="113" spans="8:11" x14ac:dyDescent="0.25">
      <c r="J113" s="7"/>
      <c r="K113" s="13"/>
    </row>
    <row r="114" spans="8:11" x14ac:dyDescent="0.25">
      <c r="J114" s="7"/>
      <c r="K114" s="13"/>
    </row>
    <row r="115" spans="8:11" x14ac:dyDescent="0.25">
      <c r="J115" s="7"/>
      <c r="K115" s="13"/>
    </row>
    <row r="116" spans="8:11" x14ac:dyDescent="0.25">
      <c r="J116" s="7"/>
      <c r="K116" s="13"/>
    </row>
    <row r="117" spans="8:11" x14ac:dyDescent="0.25">
      <c r="J117" s="7"/>
      <c r="K117" s="13"/>
    </row>
    <row r="118" spans="8:11" x14ac:dyDescent="0.25">
      <c r="J118" s="7"/>
      <c r="K118" s="13"/>
    </row>
    <row r="119" spans="8:11" x14ac:dyDescent="0.25">
      <c r="J119" s="7"/>
      <c r="K119" s="13"/>
    </row>
    <row r="120" spans="8:11" x14ac:dyDescent="0.25">
      <c r="J120" s="7"/>
      <c r="K120" s="13"/>
    </row>
    <row r="121" spans="8:11" x14ac:dyDescent="0.25">
      <c r="J121" s="7"/>
      <c r="K121" s="13"/>
    </row>
    <row r="122" spans="8:11" x14ac:dyDescent="0.25">
      <c r="J122" s="7"/>
      <c r="K122" s="13"/>
    </row>
    <row r="123" spans="8:11" x14ac:dyDescent="0.25">
      <c r="J123" s="7"/>
      <c r="K123" s="13"/>
    </row>
    <row r="124" spans="8:11" x14ac:dyDescent="0.25">
      <c r="J124" s="7"/>
      <c r="K124" s="13"/>
    </row>
    <row r="125" spans="8:11" x14ac:dyDescent="0.25">
      <c r="H125" s="13"/>
      <c r="I125" s="13"/>
      <c r="J125" s="7"/>
      <c r="K125" s="13"/>
    </row>
    <row r="126" spans="8:11" x14ac:dyDescent="0.25">
      <c r="H126" s="13"/>
      <c r="I126" s="13"/>
      <c r="J126" s="7"/>
      <c r="K126" s="13"/>
    </row>
    <row r="127" spans="8:11" x14ac:dyDescent="0.25">
      <c r="H127" s="13"/>
      <c r="I127" s="13"/>
      <c r="J127" s="7"/>
      <c r="K127" s="13"/>
    </row>
    <row r="128" spans="8:11" x14ac:dyDescent="0.25">
      <c r="H128" s="13"/>
      <c r="I128" s="13"/>
      <c r="J128" s="7"/>
      <c r="K128" s="13"/>
    </row>
    <row r="129" spans="8:11" x14ac:dyDescent="0.25">
      <c r="H129" s="13"/>
      <c r="I129" s="13"/>
      <c r="J129" s="7"/>
      <c r="K129" s="13"/>
    </row>
    <row r="130" spans="8:11" x14ac:dyDescent="0.25">
      <c r="H130" s="13"/>
      <c r="I130" s="13"/>
      <c r="J130" s="7"/>
      <c r="K130" s="13"/>
    </row>
    <row r="131" spans="8:11" x14ac:dyDescent="0.25">
      <c r="H131" s="13"/>
      <c r="I131" s="13"/>
      <c r="J131" s="7"/>
      <c r="K131" s="13"/>
    </row>
    <row r="132" spans="8:11" x14ac:dyDescent="0.25">
      <c r="H132" s="13"/>
      <c r="I132" s="13"/>
      <c r="J132" s="7"/>
      <c r="K132" s="13"/>
    </row>
    <row r="133" spans="8:11" x14ac:dyDescent="0.25">
      <c r="H133" s="13"/>
      <c r="I133" s="13"/>
      <c r="J133" s="7"/>
      <c r="K133" s="13"/>
    </row>
    <row r="134" spans="8:11" x14ac:dyDescent="0.25">
      <c r="H134" s="13"/>
      <c r="I134" s="13"/>
      <c r="J134" s="7"/>
      <c r="K134" s="13"/>
    </row>
  </sheetData>
  <sheetProtection algorithmName="SHA-512" hashValue="28YqA75Ld9ogMZNsXTJcGfpIAeBwUJx7d3yBn56fZWhLOLNVddQnxVp4gid4bcpCjgYZd/n6VA5T6OQdAFT+sw==" saltValue="GpSDAS5sEEP96XY3R+ilKg==" spinCount="100000" sheet="1" objects="1" scenarios="1" formatColumns="0"/>
  <mergeCells count="31">
    <mergeCell ref="A13:A14"/>
    <mergeCell ref="A15:A16"/>
    <mergeCell ref="A17:A18"/>
    <mergeCell ref="F11:F12"/>
    <mergeCell ref="G11:G12"/>
    <mergeCell ref="A11:A12"/>
    <mergeCell ref="F15:F16"/>
    <mergeCell ref="G15:G16"/>
    <mergeCell ref="A1:J1"/>
    <mergeCell ref="A5:C5"/>
    <mergeCell ref="E6:F6"/>
    <mergeCell ref="A3:J3"/>
    <mergeCell ref="G9:G10"/>
    <mergeCell ref="H9:H10"/>
    <mergeCell ref="I9:I10"/>
    <mergeCell ref="A7:A8"/>
    <mergeCell ref="A9:A10"/>
    <mergeCell ref="H15:H16"/>
    <mergeCell ref="I15:I16"/>
    <mergeCell ref="E5:J5"/>
    <mergeCell ref="H11:H12"/>
    <mergeCell ref="I11:I12"/>
    <mergeCell ref="F13:F14"/>
    <mergeCell ref="G13:G14"/>
    <mergeCell ref="H13:H14"/>
    <mergeCell ref="I13:I14"/>
    <mergeCell ref="F7:F8"/>
    <mergeCell ref="G7:G8"/>
    <mergeCell ref="H7:H8"/>
    <mergeCell ref="I7:I8"/>
    <mergeCell ref="F9:F10"/>
  </mergeCells>
  <conditionalFormatting sqref="J7:J17">
    <cfRule type="cellIs" dxfId="15" priority="1" operator="equal">
      <formula>"EN ATTENDANT"</formula>
    </cfRule>
    <cfRule type="cellIs" dxfId="14" priority="2" operator="equal">
      <formula>"TERMINÉ"</formula>
    </cfRule>
  </conditionalFormatting>
  <pageMargins left="0.5" right="0.5" top="0.75" bottom="0.75" header="0.3" footer="0.3"/>
  <pageSetup paperSize="9" scale="76" orientation="landscape"/>
  <rowBreaks count="2" manualBreakCount="2">
    <brk id="56" max="9" man="1"/>
    <brk id="95" max="9" man="1"/>
  </rowBreaks>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Z55"/>
  <sheetViews>
    <sheetView showGridLines="0" tabSelected="1" zoomScale="70" zoomScaleNormal="70" zoomScalePageLayoutView="70" workbookViewId="0">
      <pane xSplit="1" ySplit="5" topLeftCell="I11" activePane="bottomRight" state="frozen"/>
      <selection pane="topRight" activeCell="B1" sqref="B1"/>
      <selection pane="bottomLeft" activeCell="A5" sqref="A5"/>
      <selection pane="bottomRight" activeCell="C6" sqref="C6"/>
    </sheetView>
  </sheetViews>
  <sheetFormatPr baseColWidth="10" defaultColWidth="8.7109375" defaultRowHeight="15" x14ac:dyDescent="0.25"/>
  <cols>
    <col min="1" max="1" width="8.7109375" style="52"/>
    <col min="2" max="3" width="30.42578125" style="11" customWidth="1"/>
    <col min="4" max="4" width="24.28515625" style="16" hidden="1" customWidth="1"/>
    <col min="5" max="6" width="30.42578125" style="11" customWidth="1"/>
    <col min="7" max="7" width="24.28515625" style="11" hidden="1" customWidth="1"/>
    <col min="8" max="9" width="30.42578125" style="11" customWidth="1"/>
    <col min="10" max="10" width="24.28515625" style="11" hidden="1" customWidth="1"/>
    <col min="11" max="12" width="30.42578125" style="11" customWidth="1"/>
    <col min="13" max="13" width="24.28515625" style="11" hidden="1" customWidth="1"/>
    <col min="14" max="15" width="30.42578125" style="11" customWidth="1"/>
    <col min="16" max="16" width="24.28515625" style="11" hidden="1" customWidth="1"/>
    <col min="17" max="18" width="30.42578125" style="11" customWidth="1"/>
    <col min="19" max="19" width="24.28515625" style="11" hidden="1" customWidth="1"/>
    <col min="20" max="21" width="30.42578125" style="11" customWidth="1"/>
    <col min="22" max="16384" width="8.7109375" style="11"/>
  </cols>
  <sheetData>
    <row r="1" spans="1:26" ht="18.75" x14ac:dyDescent="0.25">
      <c r="A1" s="37" t="s">
        <v>15</v>
      </c>
      <c r="E1" s="57" t="str">
        <f>IF(ISBLANK(PAYS!E4:I4),"",UPPER(PAYS!E4:I4))</f>
        <v>CÔTE D'IVOIRE</v>
      </c>
      <c r="F1" s="58">
        <f>IF(ISBLANK(PAYS!F14:I14),"",PAYS!F14:I14)</f>
        <v>42550</v>
      </c>
    </row>
    <row r="2" spans="1:26" x14ac:dyDescent="0.25">
      <c r="A2" s="12" t="s">
        <v>14</v>
      </c>
    </row>
    <row r="4" spans="1:26" ht="14.1" customHeight="1" x14ac:dyDescent="0.25">
      <c r="A4" s="300" t="s">
        <v>409</v>
      </c>
      <c r="B4" s="302" t="s">
        <v>407</v>
      </c>
      <c r="C4" s="303"/>
      <c r="D4" s="23"/>
      <c r="E4" s="302" t="s">
        <v>435</v>
      </c>
      <c r="F4" s="303"/>
      <c r="G4" s="24"/>
      <c r="H4" s="302" t="s">
        <v>458</v>
      </c>
      <c r="I4" s="303"/>
      <c r="J4" s="24"/>
      <c r="K4" s="302" t="s">
        <v>476</v>
      </c>
      <c r="L4" s="303"/>
      <c r="M4" s="196"/>
      <c r="N4" s="302" t="s">
        <v>499</v>
      </c>
      <c r="O4" s="303"/>
      <c r="P4" s="24"/>
      <c r="Q4" s="302" t="s">
        <v>535</v>
      </c>
      <c r="R4" s="303"/>
      <c r="S4" s="24"/>
      <c r="T4" s="302" t="s">
        <v>537</v>
      </c>
      <c r="U4" s="303"/>
    </row>
    <row r="5" spans="1:26" s="14" customFormat="1" x14ac:dyDescent="0.25">
      <c r="A5" s="301"/>
      <c r="B5" s="25" t="s">
        <v>571</v>
      </c>
      <c r="C5" s="26" t="s">
        <v>576</v>
      </c>
      <c r="D5" s="27"/>
      <c r="E5" s="25" t="s">
        <v>571</v>
      </c>
      <c r="F5" s="26" t="s">
        <v>577</v>
      </c>
      <c r="G5" s="28"/>
      <c r="H5" s="25" t="s">
        <v>571</v>
      </c>
      <c r="I5" s="29" t="s">
        <v>577</v>
      </c>
      <c r="J5" s="28"/>
      <c r="K5" s="25" t="s">
        <v>571</v>
      </c>
      <c r="L5" s="26" t="s">
        <v>577</v>
      </c>
      <c r="M5" s="30"/>
      <c r="N5" s="25" t="s">
        <v>571</v>
      </c>
      <c r="O5" s="29" t="s">
        <v>577</v>
      </c>
      <c r="P5" s="28"/>
      <c r="Q5" s="25" t="s">
        <v>571</v>
      </c>
      <c r="R5" s="26" t="s">
        <v>577</v>
      </c>
      <c r="S5" s="28"/>
      <c r="T5" s="25" t="s">
        <v>571</v>
      </c>
      <c r="U5" s="29" t="s">
        <v>577</v>
      </c>
    </row>
    <row r="6" spans="1:26" s="15" customFormat="1" ht="63.75" x14ac:dyDescent="0.25">
      <c r="A6" s="53">
        <v>0</v>
      </c>
      <c r="B6" s="165" t="str">
        <f t="array" ref="B6">IF(ROWS(B$6:B6)&lt;=$A$7,INDEX(LÉGISLATION!$C$5:$C$19,SMALL(IF(STAGE=0,IF(STATUS=0,ROW(STATUS)-ROW(LÉGISLATION!$E$5)+1)),ROWS(B$6:B6))),"")</f>
        <v/>
      </c>
      <c r="C6" s="166" t="str">
        <f t="array" ref="C6">IF(ROWS(C$6:C6)&lt;=$A$8,INDEX(LÉGISLATION!$C$5:$C$19,SMALL(IF(STAGE=0,IF(STATUS=1,ROW(STATUS)-ROW(LÉGISLATION!$E$5)+1)),ROWS(C$6:C6))),"")</f>
        <v>Une définition de cas de rage animale est disponible et compatible avec la définition de l’OIE</v>
      </c>
      <c r="D6" s="167"/>
      <c r="E6" s="165" t="str">
        <f>IF(ROWS(E$6:E6)&lt;=$D$7,INDEX('COLLECTE DE DONNÉES ET ANALYSE'!$C$5:$C$22,SMALL(IF(datastage=0,IF(datastatus=0,ROW(datastatus)-ROW('COLLECTE DE DONNÉES ET ANALYSE'!$E$5)+1)),ROWS(E$6:E6))),"")</f>
        <v/>
      </c>
      <c r="F6" s="166" t="str">
        <f>IF(ROWS(F$6:F6)&lt;=$D$8,INDEX('COLLECTE DE DONNÉES ET ANALYSE'!$C$5:$C$22,SMALL(IF(datastage=0,IF(datastatus=1,ROW(datastatus)-ROW('COLLECTE DE DONNÉES ET ANALYSE'!$E$5)+1)),ROWS(F$6:F6))),"")</f>
        <v/>
      </c>
      <c r="G6" s="168"/>
      <c r="H6" s="169" t="str">
        <f t="array" ref="H6">IF(ROWS(H$6:H6)&lt;=$G$7,INDEX('DIAGNOSTIC DE LABORATOIRE'!$C$5:$C$15,SMALL(IF(labstage=0,IF(labstatus=0,ROW(labstatus)-ROW('DIAGNOSTIC DE LABORATOIRE'!$E$5)+1)),ROWS(H$6:H6))),"")</f>
        <v/>
      </c>
      <c r="I6" s="170" t="str">
        <f t="array" ref="I6">IF(ROWS(I$6:I6)&lt;=$G$8,INDEX('DIAGNOSTIC DE LABORATOIRE'!$C$5:$C$15,SMALL(IF(labstage=0,IF(labstatus=1,ROW(labstatus)-ROW('DIAGNOSTIC DE LABORATOIRE'!$F$5)+1)),ROWS(I$6:I6))),"")</f>
        <v>Des contacts sont établis avec un laboratoire international de référence de rage ou un centre collaborateur/centre international de référence</v>
      </c>
      <c r="J6" s="168"/>
      <c r="K6" s="165" t="str">
        <f t="array" ref="K6">IF(ROWS(K$6:K6)&lt;=$J$7,INDEX('INFORMATION, ÉDUCTION ET LA COM'!$C$5:$C$21,SMALL(IF(iecstage=0,IF(iecstatus=0,ROW(iecstatus)-ROW('INFORMATION, ÉDUCTION ET LA COM'!$E$5)+1)),ROWS(K$6:K6))),"")</f>
        <v/>
      </c>
      <c r="L6" s="166" t="str">
        <f t="array" ref="L6">IF(ROWS(L$6:L6)&lt;=$J$8,INDEX('INFORMATION, ÉDUCTION ET LA COM'!$C$5:$C$21,SMALL(IF(iecstage=0,IF(iecstatus=1,ROW(iecstatus)-ROW('INFORMATION, ÉDUCTION ET LA COM'!$E$5)+1)),ROWS(L$6:L6))),"")</f>
        <v/>
      </c>
      <c r="M6" s="171"/>
      <c r="N6" s="169" t="str">
        <f t="array" ref="N6">IF(ROWS(N$6:N6)&lt;=$M$7,INDEX('PRÉVENTION ET DE CONTRÔLE'!$C$5:$C$29,SMALL(IF(prevstage=0,IF(prevstatus=0,ROW(prevstatus)-ROW('PRÉVENTION ET DE CONTRÔLE'!$E$5)+1)),ROWS(N$6:N6))),"")</f>
        <v/>
      </c>
      <c r="O6" s="170" t="str">
        <f t="array" ref="O6">IF(ROWS(O$6:O6)&lt;=$M$8,INDEX('PRÉVENTION ET DE CONTRÔLE'!$C$5:$C$29,SMALL(IF(prevstage=0,IF(prevstatus=1,ROW(prevstatus)-ROW('PRÉVENTION ET DE CONTRÔLE'!$E$5)+1)),ROWS(O$6:O6))),"")</f>
        <v/>
      </c>
      <c r="P6" s="168"/>
      <c r="Q6" s="165" t="e">
        <f t="array" ref="Q6">IF(ROWS(Q$6:Q6)&lt;=$P$7,INDEX(#REF!,SMALL(IF(dogstage=0,IF(dogstatus=0,ROW(dogstatus)-ROW(#REF!)+1)),ROWS(Q$6:Q6))),"")</f>
        <v>#REF!</v>
      </c>
      <c r="R6" s="166" t="e">
        <f t="array" ref="R6">IF(ROWS(R$6:R6)&lt;=$P$8,INDEX(#REF!,SMALL(IF(dogstage=0,IF(dogstatus=1,ROW(dogstatus)-ROW(#REF!)+1)),ROWS(R$6:R6))),"")</f>
        <v>#REF!</v>
      </c>
      <c r="S6" s="168"/>
      <c r="T6" s="169" t="str">
        <f t="array" ref="T6">IF(ROWS(T$6:T6)&lt;=$S$7,INDEX('QUESTIONS TRANSVERSALES'!$C$5:$C$16,SMALL(IF(crossstage=0,IF(crossstatus=0,ROW(crossstatus)-ROW('QUESTIONS TRANSVERSALES'!$E$5)+1)),ROWS(T$6:T6))),"")</f>
        <v/>
      </c>
      <c r="U6" s="170" t="str">
        <f t="array" ref="U6">IF(ROWS(U$6:U6)&lt;=$S$8,INDEX('QUESTIONS TRANSVERSALES'!$C$5:$C$16,SMALL(IF(crossstage=0,IF(crossstatus=1,ROW(crossstatus)-ROW('QUESTIONS TRANSVERSALES'!$E$5)+1)),ROWS(U$6:U6))),"")</f>
        <v>Les résultats des échantillons de la rage sont partagés d’une manière appropriée avec les autorités locales et nationales</v>
      </c>
      <c r="Z6" s="90"/>
    </row>
    <row r="7" spans="1:26" s="15" customFormat="1" ht="63.75" x14ac:dyDescent="0.25">
      <c r="A7" s="43">
        <f>SUMPRODUCT((STAGE=0)*(STATUS=0))</f>
        <v>0</v>
      </c>
      <c r="B7" s="172" t="str">
        <f t="array" ref="B7">IF(ROWS(B$6:B7)&lt;=$A$7,INDEX(LÉGISLATION!$C$5:$C$19,SMALL(IF(STAGE=0,IF(STATUS=0,ROW(STATUS)-ROW(LÉGISLATION!$E$5)+1)),ROWS(B$6:B7))),"")</f>
        <v/>
      </c>
      <c r="C7" s="173" t="str">
        <f t="array" ref="C7">IF(ROWS(C$6:C7)&lt;=$A$8,INDEX(LÉGISLATION!$C$5:$C$19,SMALL(IF(STAGE=0,IF(STATUS=1,ROW(STATUS)-ROW(LÉGISLATION!$E$5)+1)),ROWS(C$6:C7))),"")</f>
        <v>Une définition de cas de rage humaine est disponible et compatible avec la définition de l’OMS</v>
      </c>
      <c r="D7" s="174">
        <f>SUMPRODUCT((datastage=0)*(datastatus=0))</f>
        <v>0</v>
      </c>
      <c r="E7" s="172" t="str">
        <f>IF(ROWS(E$6:E7)&lt;=$D$7,INDEX('COLLECTE DE DONNÉES ET ANALYSE'!$C$5:$C$22,SMALL(IF(datastage=0,IF(datastatus=0,ROW(datastatus)-ROW('COLLECTE DE DONNÉES ET ANALYSE'!$E$5)+1)),ROWS(E$6:E7))),"")</f>
        <v/>
      </c>
      <c r="F7" s="173" t="str">
        <f>IF(ROWS(F$6:F7)&lt;=$D$8,INDEX('COLLECTE DE DONNÉES ET ANALYSE'!$C$5:$C$22,SMALL(IF(datastage=0,IF(datastatus=1,ROW(datastatus)-ROW('COLLECTE DE DONNÉES ET ANALYSE'!$E$5)+1)),ROWS(F$6:F7))),"")</f>
        <v/>
      </c>
      <c r="G7" s="175">
        <f>SUMPRODUCT((labstage=0)*(labstatus=0))</f>
        <v>0</v>
      </c>
      <c r="H7" s="176" t="str">
        <f t="array" ref="H7">IF(ROWS(H$6:H7)&lt;=$G$7,INDEX('DIAGNOSTIC DE LABORATOIRE'!$C$5:$C$15,SMALL(IF(labstage=0,IF(labstatus=0,ROW(labstatus)-ROW('DIAGNOSTIC DE LABORATOIRE'!$E$5)+1)),ROWS(H$6:H7))),"")</f>
        <v/>
      </c>
      <c r="I7" s="177" t="str">
        <f t="array" ref="I7">IF(ROWS(I$6:I7)&lt;=$G$8,INDEX('DIAGNOSTIC DE LABORATOIRE'!$C$5:$C$15,SMALL(IF(labstage=0,IF(labstatus=1,ROW(labstatus)-ROW('DIAGNOSTIC DE LABORATOIRE'!$F$5)+1)),ROWS(I$6:I7))),"")</f>
        <v>Au moins un échantillon suspect de rage (animal, homme) est soumis à un laboratoire international de référence de rage pour la confirmation</v>
      </c>
      <c r="J7" s="175">
        <f>SUMPRODUCT((iecstage=0)*(iecstatus=0))</f>
        <v>0</v>
      </c>
      <c r="K7" s="178" t="str">
        <f t="array" ref="K7">IF(ROWS(K$6:K7)&lt;=$J$7,INDEX('INFORMATION, ÉDUCTION ET LA COM'!$C$5:$C$21,SMALL(IF(iecstage=0,IF(iecstatus=0,ROW(iecstatus)-ROW('INFORMATION, ÉDUCTION ET LA COM'!$E$5)+1)),ROWS(K$6:K7))),"")</f>
        <v/>
      </c>
      <c r="L7" s="173" t="str">
        <f t="array" ref="L7">IF(ROWS(L$6:L7)&lt;=$J$8,INDEX('INFORMATION, ÉDUCTION ET LA COM'!$C$5:$C$21,SMALL(IF(iecstage=0,IF(iecstatus=1,ROW(iecstatus)-ROW('INFORMATION, ÉDUCTION ET LA COM'!$E$5)+1)),ROWS(L$6:L7))),"")</f>
        <v/>
      </c>
      <c r="M7" s="179">
        <f>SUMPRODUCT((prevstage=0)*(prevstatus=0))</f>
        <v>0</v>
      </c>
      <c r="N7" s="176" t="str">
        <f t="array" ref="N7">IF(ROWS(N$6:N7)&lt;=$M$7,INDEX('PRÉVENTION ET DE CONTRÔLE'!$C$5:$C$29,SMALL(IF(prevstage=0,IF(prevstatus=0,ROW(prevstatus)-ROW('PRÉVENTION ET DE CONTRÔLE'!$E$5)+1)),ROWS(N$6:N7))),"")</f>
        <v/>
      </c>
      <c r="O7" s="177" t="str">
        <f t="array" ref="O7">IF(ROWS(O$6:O7)&lt;=$M$8,INDEX('PRÉVENTION ET DE CONTRÔLE'!$C$5:$C$29,SMALL(IF(prevstage=0,IF(prevstatus=1,ROW(prevstatus)-ROW('PRÉVENTION ET DE CONTRÔLE'!$E$5)+1)),ROWS(O$6:O7))),"")</f>
        <v/>
      </c>
      <c r="P7" s="175" t="e">
        <f>SUMPRODUCT((dogstage=0)*(dogstatus=0))</f>
        <v>#REF!</v>
      </c>
      <c r="Q7" s="178" t="e">
        <f t="array" ref="Q7">IF(ROWS(Q$6:Q7)&lt;=$P$7,INDEX(#REF!,SMALL(IF(dogstage=0,IF(dogstatus=0,ROW(dogstatus)-ROW(#REF!)+1)),ROWS(Q$6:Q7))),"")</f>
        <v>#REF!</v>
      </c>
      <c r="R7" s="173" t="e">
        <f t="array" ref="R7">IF(ROWS(R$6:R7)&lt;=$P$8,INDEX(#REF!,SMALL(IF(dogstage=0,IF(dogstatus=1,ROW(dogstatus)-ROW(#REF!)+1)),ROWS(R$6:R7))),"")</f>
        <v>#REF!</v>
      </c>
      <c r="S7" s="175">
        <f>SUMPRODUCT((crossstage=0)*(crossstatus=0))</f>
        <v>0</v>
      </c>
      <c r="T7" s="176" t="str">
        <f t="array" ref="T7">IF(ROWS(T$6:T7)&lt;=$S$7,INDEX('QUESTIONS TRANSVERSALES'!$C$5:$C$16,SMALL(IF(crossstage=0,IF(crossstatus=0,ROW(crossstatus)-ROW('QUESTIONS TRANSVERSALES'!$E$5)+1)),ROWS(T$6:T7))),"")</f>
        <v/>
      </c>
      <c r="U7" s="177" t="str">
        <f t="array" ref="U7">IF(ROWS(U$6:U7)&lt;=$S$8,INDEX('QUESTIONS TRANSVERSALES'!$C$5:$C$16,SMALL(IF(crossstage=0,IF(crossstatus=1,ROW(crossstatus)-ROW('QUESTIONS TRANSVERSALES'!$E$5)+1)),ROWS(U$6:U7))),"")</f>
        <v/>
      </c>
      <c r="Z7" s="90"/>
    </row>
    <row r="8" spans="1:26" s="15" customFormat="1" ht="63.75" x14ac:dyDescent="0.25">
      <c r="A8" s="43">
        <f>SUMPRODUCT((STAGE=0)*(STATUS=1))</f>
        <v>3</v>
      </c>
      <c r="B8" s="178" t="str">
        <f t="array" ref="B8">IF(ROWS(B$6:B8)&lt;=$A$7,INDEX(LÉGISLATION!$C$5:$C$19,SMALL(IF(STAGE=0,IF(STATUS=0,ROW(STATUS)-ROW(LÉGISLATION!$E$5)+1)),ROWS(B$6:B8))),"")</f>
        <v/>
      </c>
      <c r="C8" s="173" t="str">
        <f t="array" ref="C8">IF(ROWS(C$6:C8)&lt;=$A$8,INDEX(LÉGISLATION!$C$5:$C$19,SMALL(IF(STAGE=0,IF(STATUS=1,ROW(STATUS)-ROW(LÉGISLATION!$E$5)+1)),ROWS(C$6:C8))),"")</f>
        <v>L’autorité nationale annonce au moins un cas de rage confirmé à l’OMS ou l’OIE</v>
      </c>
      <c r="D8" s="174">
        <f>SUMPRODUCT((datastage=0)*(datastatus=1))</f>
        <v>0</v>
      </c>
      <c r="E8" s="178" t="str">
        <f>IF(ROWS(E$6:E8)&lt;=$D$7,INDEX('COLLECTE DE DONNÉES ET ANALYSE'!$C$5:$C$22,SMALL(IF(datastage=0,IF(datastatus=0,ROW(datastatus)-ROW('COLLECTE DE DONNÉES ET ANALYSE'!$E$5)+1)),ROWS(E$6:E8))),"")</f>
        <v/>
      </c>
      <c r="F8" s="173" t="str">
        <f>IF(ROWS(F$6:F8)&lt;=$D$8,INDEX('COLLECTE DE DONNÉES ET ANALYSE'!$C$5:$C$22,SMALL(IF(datastage=0,IF(datastatus=1,ROW(datastatus)-ROW('COLLECTE DE DONNÉES ET ANALYSE'!$E$5)+1)),ROWS(F$6:F8))),"")</f>
        <v/>
      </c>
      <c r="G8" s="175">
        <f>SUMPRODUCT((labstage=0)*(labstatus=1))</f>
        <v>3</v>
      </c>
      <c r="H8" s="176" t="str">
        <f t="array" ref="H8">IF(ROWS(H$6:H8)&lt;=$G$7,INDEX('DIAGNOSTIC DE LABORATOIRE'!$C$5:$C$15,SMALL(IF(labstage=0,IF(labstatus=0,ROW(labstatus)-ROW('DIAGNOSTIC DE LABORATOIRE'!$E$5)+1)),ROWS(H$6:H8))),"")</f>
        <v/>
      </c>
      <c r="I8" s="177" t="str">
        <f t="array" ref="I8">IF(ROWS(I$6:I8)&lt;=$G$8,INDEX('DIAGNOSTIC DE LABORATOIRE'!$C$5:$C$15,SMALL(IF(labstage=0,IF(labstatus=1,ROW(labstatus)-ROW('DIAGNOSTIC DE LABORATOIRE'!$F$5)+1)),ROWS(I$6:I8))),"")</f>
        <v>Des échantillons suspects de rage (animaux, humaine) sont soumis à un laboratoire national et analysés par une méthode recommandée au niveau international</v>
      </c>
      <c r="J8" s="175">
        <f>SUMPRODUCT((iecstage=0)*(iecstatus=1))</f>
        <v>0</v>
      </c>
      <c r="K8" s="178" t="str">
        <f t="array" ref="K8">IF(ROWS(K$6:K8)&lt;=$J$7,INDEX('INFORMATION, ÉDUCTION ET LA COM'!$C$5:$C$21,SMALL(IF(iecstage=0,IF(iecstatus=0,ROW(iecstatus)-ROW('INFORMATION, ÉDUCTION ET LA COM'!$E$5)+1)),ROWS(K$6:K8))),"")</f>
        <v/>
      </c>
      <c r="L8" s="173" t="str">
        <f t="array" ref="L8">IF(ROWS(L$6:L8)&lt;=$J$8,INDEX('INFORMATION, ÉDUCTION ET LA COM'!$C$5:$C$21,SMALL(IF(iecstage=0,IF(iecstatus=1,ROW(iecstatus)-ROW('INFORMATION, ÉDUCTION ET LA COM'!$E$5)+1)),ROWS(L$6:L8))),"")</f>
        <v/>
      </c>
      <c r="M8" s="179">
        <f>SUMPRODUCT((prevstage=0)*(prevstatus=1))</f>
        <v>0</v>
      </c>
      <c r="N8" s="176" t="str">
        <f t="array" ref="N8">IF(ROWS(N$6:N8)&lt;=$M$7,INDEX('PRÉVENTION ET DE CONTRÔLE'!$C$5:$C$29,SMALL(IF(prevstage=0,IF(prevstatus=0,ROW(prevstatus)-ROW('PRÉVENTION ET DE CONTRÔLE'!$E$5)+1)),ROWS(N$6:N8))),"")</f>
        <v/>
      </c>
      <c r="O8" s="177" t="str">
        <f t="array" ref="O8">IF(ROWS(O$6:O8)&lt;=$M$8,INDEX('PRÉVENTION ET DE CONTRÔLE'!$C$5:$C$29,SMALL(IF(prevstage=0,IF(prevstatus=1,ROW(prevstatus)-ROW('PRÉVENTION ET DE CONTRÔLE'!$E$5)+1)),ROWS(O$6:O8))),"")</f>
        <v/>
      </c>
      <c r="P8" s="175" t="e">
        <f>SUMPRODUCT((dogstage=0)*(dogstatus=1))</f>
        <v>#REF!</v>
      </c>
      <c r="Q8" s="178" t="e">
        <f t="array" ref="Q8">IF(ROWS(Q$6:Q8)&lt;=$P$7,INDEX(#REF!,SMALL(IF(dogstage=0,IF(dogstatus=0,ROW(dogstatus)-ROW(#REF!)+1)),ROWS(Q$6:Q8))),"")</f>
        <v>#REF!</v>
      </c>
      <c r="R8" s="173" t="e">
        <f t="array" ref="R8">IF(ROWS(R$6:R8)&lt;=$P$8,INDEX(#REF!,SMALL(IF(dogstage=0,IF(dogstatus=1,ROW(dogstatus)-ROW(#REF!)+1)),ROWS(R$6:R8))),"")</f>
        <v>#REF!</v>
      </c>
      <c r="S8" s="175">
        <f>SUMPRODUCT((crossstage=0)*(crossstatus=1))</f>
        <v>1</v>
      </c>
      <c r="T8" s="176" t="str">
        <f t="array" ref="T8">IF(ROWS(T$6:T8)&lt;=$S$7,INDEX('QUESTIONS TRANSVERSALES'!$C$5:$C$16,SMALL(IF(crossstage=0,IF(crossstatus=0,ROW(crossstatus)-ROW('QUESTIONS TRANSVERSALES'!$E$5)+1)),ROWS(T$6:T8))),"")</f>
        <v/>
      </c>
      <c r="U8" s="177" t="str">
        <f t="array" ref="U8">IF(ROWS(U$6:U8)&lt;=$S$8,INDEX('QUESTIONS TRANSVERSALES'!$C$5:$C$16,SMALL(IF(crossstage=0,IF(crossstatus=1,ROW(crossstatus)-ROW('QUESTIONS TRANSVERSALES'!$E$5)+1)),ROWS(U$6:U8))),"")</f>
        <v/>
      </c>
      <c r="Z8" s="90"/>
    </row>
    <row r="9" spans="1:26" s="15" customFormat="1" ht="12.75" x14ac:dyDescent="0.25">
      <c r="A9" s="44"/>
      <c r="B9" s="178" t="str">
        <f t="array" ref="B9">IF(ROWS(B$6:B9)&lt;=$A$7,INDEX(LÉGISLATION!$C$5:$C$19,SMALL(IF(STAGE=0,IF(STATUS=0,ROW(STATUS)-ROW(LÉGISLATION!$E$5)+1)),ROWS(B$6:B9))),"")</f>
        <v/>
      </c>
      <c r="C9" s="173" t="str">
        <f t="array" ref="C9">IF(ROWS(C$6:C9)&lt;=$A$8,INDEX(LÉGISLATION!$C$5:$C$19,SMALL(IF(STAGE=0,IF(STATUS=1,ROW(STATUS)-ROW(LÉGISLATION!$E$5)+1)),ROWS(C$6:C9))),"")</f>
        <v/>
      </c>
      <c r="D9" s="174"/>
      <c r="E9" s="178" t="str">
        <f>IF(ROWS(E$6:E9)&lt;=$D$7,INDEX('COLLECTE DE DONNÉES ET ANALYSE'!$C$5:$C$22,SMALL(IF(datastage=0,IF(datastatus=0,ROW(datastatus)-ROW('COLLECTE DE DONNÉES ET ANALYSE'!$E$5)+1)),ROWS(E$6:E9))),"")</f>
        <v/>
      </c>
      <c r="F9" s="173" t="str">
        <f>IF(ROWS(F$6:F9)&lt;=$D$8,INDEX('COLLECTE DE DONNÉES ET ANALYSE'!$C$5:$C$22,SMALL(IF(datastage=0,IF(datastatus=1,ROW(datastatus)-ROW('COLLECTE DE DONNÉES ET ANALYSE'!$E$5)+1)),ROWS(F$6:F9))),"")</f>
        <v/>
      </c>
      <c r="G9" s="175"/>
      <c r="H9" s="176" t="str">
        <f t="array" ref="H9">IF(ROWS(H$6:H9)&lt;=$G$7,INDEX('DIAGNOSTIC DE LABORATOIRE'!$C$5:$C$15,SMALL(IF(labstage=0,IF(labstatus=0,ROW(labstatus)-ROW('DIAGNOSTIC DE LABORATOIRE'!$E$5)+1)),ROWS(H$6:H9))),"")</f>
        <v/>
      </c>
      <c r="I9" s="177" t="str">
        <f t="array" ref="I9">IF(ROWS(I$6:I9)&lt;=$G$8,INDEX('DIAGNOSTIC DE LABORATOIRE'!$C$5:$C$15,SMALL(IF(labstage=0,IF(labstatus=1,ROW(labstatus)-ROW('DIAGNOSTIC DE LABORATOIRE'!$F$5)+1)),ROWS(I$6:I9))),"")</f>
        <v/>
      </c>
      <c r="J9" s="175"/>
      <c r="K9" s="178" t="str">
        <f t="array" ref="K9">IF(ROWS(K$6:K9)&lt;=$J$7,INDEX('INFORMATION, ÉDUCTION ET LA COM'!$C$5:$C$21,SMALL(IF(iecstage=0,IF(iecstatus=0,ROW(iecstatus)-ROW('INFORMATION, ÉDUCTION ET LA COM'!$E$5)+1)),ROWS(K$6:K9))),"")</f>
        <v/>
      </c>
      <c r="L9" s="173" t="str">
        <f t="array" ref="L9">IF(ROWS(L$6:L9)&lt;=$J$8,INDEX('INFORMATION, ÉDUCTION ET LA COM'!$C$5:$C$21,SMALL(IF(iecstage=0,IF(iecstatus=1,ROW(iecstatus)-ROW('INFORMATION, ÉDUCTION ET LA COM'!$E$5)+1)),ROWS(L$6:L9))),"")</f>
        <v/>
      </c>
      <c r="M9" s="179"/>
      <c r="N9" s="176" t="str">
        <f t="array" ref="N9">IF(ROWS(N$6:N9)&lt;=$M$7,INDEX('PRÉVENTION ET DE CONTRÔLE'!$C$5:$C$29,SMALL(IF(prevstage=0,IF(prevstatus=0,ROW(prevstatus)-ROW('PRÉVENTION ET DE CONTRÔLE'!$E$5)+1)),ROWS(N$6:N9))),"")</f>
        <v/>
      </c>
      <c r="O9" s="177" t="str">
        <f t="array" ref="O9">IF(ROWS(O$6:O9)&lt;=$M$8,INDEX('PRÉVENTION ET DE CONTRÔLE'!$C$5:$C$29,SMALL(IF(prevstage=0,IF(prevstatus=1,ROW(prevstatus)-ROW('PRÉVENTION ET DE CONTRÔLE'!$E$5)+1)),ROWS(O$6:O9))),"")</f>
        <v/>
      </c>
      <c r="P9" s="175"/>
      <c r="Q9" s="178" t="e">
        <f t="array" ref="Q9">IF(ROWS(Q$6:Q9)&lt;=$P$7,INDEX(#REF!,SMALL(IF(dogstage=0,IF(dogstatus=0,ROW(dogstatus)-ROW(#REF!)+1)),ROWS(Q$6:Q9))),"")</f>
        <v>#REF!</v>
      </c>
      <c r="R9" s="173" t="e">
        <f t="array" ref="R9">IF(ROWS(R$6:R9)&lt;=$P$8,INDEX(#REF!,SMALL(IF(dogstage=0,IF(dogstatus=1,ROW(dogstatus)-ROW(#REF!)+1)),ROWS(R$6:R9))),"")</f>
        <v>#REF!</v>
      </c>
      <c r="S9" s="175"/>
      <c r="T9" s="176" t="str">
        <f t="array" ref="T9">IF(ROWS(T$6:T9)&lt;=$S$7,INDEX('QUESTIONS TRANSVERSALES'!$C$5:$C$16,SMALL(IF(crossstage=0,IF(crossstatus=0,ROW(crossstatus)-ROW('QUESTIONS TRANSVERSALES'!$E$5)+1)),ROWS(T$6:T9))),"")</f>
        <v/>
      </c>
      <c r="U9" s="177" t="str">
        <f t="array" ref="U9">IF(ROWS(U$6:U9)&lt;=$S$8,INDEX('QUESTIONS TRANSVERSALES'!$C$5:$C$16,SMALL(IF(crossstage=0,IF(crossstatus=1,ROW(crossstatus)-ROW('QUESTIONS TRANSVERSALES'!$E$5)+1)),ROWS(U$6:U9))),"")</f>
        <v/>
      </c>
      <c r="Z9" s="90"/>
    </row>
    <row r="10" spans="1:26" s="15" customFormat="1" ht="12.75" x14ac:dyDescent="0.25">
      <c r="A10" s="45"/>
      <c r="B10" s="180" t="str">
        <f t="array" ref="B10">IF(ROWS(B$6:B10)&lt;=$A$7,INDEX(LÉGISLATION!$C$5:$C$19,SMALL(IF(STAGE=0,IF(STATUS=0,ROW(STATUS)-ROW(LÉGISLATION!$E$5)+1)),ROWS(B$6:B10))),"")</f>
        <v/>
      </c>
      <c r="C10" s="181" t="str">
        <f t="array" ref="C10">IF(ROWS(C$6:C10)&lt;=$A$8,INDEX(LÉGISLATION!$C$5:$C$19,SMALL(IF(STAGE=0,IF(STATUS=1,ROW(STATUS)-ROW(LÉGISLATION!$E$5)+1)),ROWS(C$6:C10))),"")</f>
        <v/>
      </c>
      <c r="D10" s="182"/>
      <c r="E10" s="180" t="str">
        <f>IF(ROWS(E$6:E10)&lt;=$D$7,INDEX('COLLECTE DE DONNÉES ET ANALYSE'!$C$5:$C$22,SMALL(IF(datastage=0,IF(datastatus=0,ROW(datastatus)-ROW('COLLECTE DE DONNÉES ET ANALYSE'!$E$5)+1)),ROWS(E$6:E10))),"")</f>
        <v/>
      </c>
      <c r="F10" s="181" t="str">
        <f>IF(ROWS(F$6:F10)&lt;=$D$8,INDEX('COLLECTE DE DONNÉES ET ANALYSE'!$C$5:$C$22,SMALL(IF(datastage=0,IF(datastatus=1,ROW(datastatus)-ROW('COLLECTE DE DONNÉES ET ANALYSE'!$E$5)+1)),ROWS(F$6:F10))),"")</f>
        <v/>
      </c>
      <c r="G10" s="183"/>
      <c r="H10" s="184" t="str">
        <f t="array" ref="H10">IF(ROWS(H$6:H10)&lt;=$G$7,INDEX('DIAGNOSTIC DE LABORATOIRE'!$C$5:$C$15,SMALL(IF(labstage=0,IF(labstatus=0,ROW(labstatus)-ROW('DIAGNOSTIC DE LABORATOIRE'!$E$5)+1)),ROWS(H$6:H10))),"")</f>
        <v/>
      </c>
      <c r="I10" s="185" t="str">
        <f t="array" ref="I10">IF(ROWS(I$6:I10)&lt;=$G$8,INDEX('DIAGNOSTIC DE LABORATOIRE'!$C$5:$C$15,SMALL(IF(labstage=0,IF(labstatus=1,ROW(labstatus)-ROW('DIAGNOSTIC DE LABORATOIRE'!$F$5)+1)),ROWS(I$6:I10))),"")</f>
        <v/>
      </c>
      <c r="J10" s="183"/>
      <c r="K10" s="180" t="str">
        <f t="array" ref="K10">IF(ROWS(K$6:K10)&lt;=$J$7,INDEX('INFORMATION, ÉDUCTION ET LA COM'!$C$5:$C$21,SMALL(IF(iecstage=0,IF(iecstatus=0,ROW(iecstatus)-ROW('INFORMATION, ÉDUCTION ET LA COM'!$E$5)+1)),ROWS(K$6:K10))),"")</f>
        <v/>
      </c>
      <c r="L10" s="181" t="str">
        <f t="array" ref="L10">IF(ROWS(L$6:L10)&lt;=$J$8,INDEX('INFORMATION, ÉDUCTION ET LA COM'!$C$5:$C$21,SMALL(IF(iecstage=0,IF(iecstatus=1,ROW(iecstatus)-ROW('INFORMATION, ÉDUCTION ET LA COM'!$E$5)+1)),ROWS(L$6:L10))),"")</f>
        <v/>
      </c>
      <c r="M10" s="186"/>
      <c r="N10" s="184" t="str">
        <f t="array" ref="N10">IF(ROWS(N$6:N10)&lt;=$M$7,INDEX('PRÉVENTION ET DE CONTRÔLE'!$C$5:$C$29,SMALL(IF(prevstage=0,IF(prevstatus=0,ROW(prevstatus)-ROW('PRÉVENTION ET DE CONTRÔLE'!$E$5)+1)),ROWS(N$6:N10))),"")</f>
        <v/>
      </c>
      <c r="O10" s="185" t="str">
        <f t="array" ref="O10">IF(ROWS(O$6:O10)&lt;=$M$8,INDEX('PRÉVENTION ET DE CONTRÔLE'!$C$5:$C$29,SMALL(IF(prevstage=0,IF(prevstatus=1,ROW(prevstatus)-ROW('PRÉVENTION ET DE CONTRÔLE'!$E$5)+1)),ROWS(O$6:O10))),"")</f>
        <v/>
      </c>
      <c r="P10" s="183"/>
      <c r="Q10" s="180" t="e">
        <f t="array" ref="Q10">IF(ROWS(Q$6:Q10)&lt;=$P$7,INDEX(#REF!,SMALL(IF(dogstage=0,IF(dogstatus=0,ROW(dogstatus)-ROW(#REF!)+1)),ROWS(Q$6:Q10))),"")</f>
        <v>#REF!</v>
      </c>
      <c r="R10" s="181" t="e">
        <f t="array" ref="R10">IF(ROWS(R$6:R10)&lt;=$P$8,INDEX(#REF!,SMALL(IF(dogstage=0,IF(dogstatus=1,ROW(dogstatus)-ROW(#REF!)+1)),ROWS(R$6:R10))),"")</f>
        <v>#REF!</v>
      </c>
      <c r="S10" s="183"/>
      <c r="T10" s="184" t="str">
        <f t="array" ref="T10">IF(ROWS(T$6:T10)&lt;=$S$7,INDEX('QUESTIONS TRANSVERSALES'!$C$5:$C$16,SMALL(IF(crossstage=0,IF(crossstatus=0,ROW(crossstatus)-ROW('QUESTIONS TRANSVERSALES'!$E$5)+1)),ROWS(T$6:T10))),"")</f>
        <v/>
      </c>
      <c r="U10" s="185" t="str">
        <f t="array" ref="U10">IF(ROWS(U$6:U10)&lt;=$S$8,INDEX('QUESTIONS TRANSVERSALES'!$C$5:$C$16,SMALL(IF(crossstage=0,IF(crossstatus=1,ROW(crossstatus)-ROW('QUESTIONS TRANSVERSALES'!$E$5)+1)),ROWS(U$6:U10))),"")</f>
        <v/>
      </c>
      <c r="Z10" s="90"/>
    </row>
    <row r="11" spans="1:26" s="15" customFormat="1" ht="51" x14ac:dyDescent="0.25">
      <c r="A11" s="53">
        <v>1</v>
      </c>
      <c r="B11" s="165" t="str">
        <f t="array" ref="B11">IF(ROWS(B$11:B11)&lt;=$A$12,INDEX(LÉGISLATION!$C$5:$C$19,SMALL(IF(STAGE=1,IF(STATUS=0,ROW(STATUS)-ROW(LÉGISLATION!$E$5)+1)),ROWS(B$11:B11))),"")</f>
        <v/>
      </c>
      <c r="C11" s="166" t="str">
        <f t="array" ref="C11">IF(ROWS(C$11:C11)&lt;=$A$13,INDEX(LÉGISLATION!$C$5:$C$19,SMALL(IF(STAGE=1,IF(STATUS=1,ROW(STATUS)-ROW(LÉGISLATION!$E$5)+1)),ROWS(C$11:C11))),"")</f>
        <v>La définition de cas de rage animale a été disséminée aux professionnels concernés</v>
      </c>
      <c r="D11" s="187"/>
      <c r="E11" s="165" t="str">
        <f t="array" ref="E11">IF(ROWS(E$11:E11)&lt;=$D$12,INDEX('COLLECTE DE DONNÉES ET ANALYSE'!$C$5:$C$22,SMALL(IF(datastage=1,IF(datastatus=0,ROW(datastatus)-ROW('COLLECTE DE DONNÉES ET ANALYSE'!$E$5)+1)),ROWS(E$11:E11))),"")</f>
        <v/>
      </c>
      <c r="F11" s="166" t="str">
        <f t="array" ref="F11">IF(ROWS(F$11:F11)&lt;=$D$13,INDEX('COLLECTE DE DONNÉES ET ANALYSE'!$C$5:$C$22,SMALL(IF(datastage=1,IF(datastatus=1,ROW(datastatus)-ROW('COLLECTE DE DONNÉES ET ANALYSE'!$E$5)+1)),ROWS(F$11:F11))),"")</f>
        <v>Rapport des cas de rage canine du niveau local jusqu'au niveau national</v>
      </c>
      <c r="G11" s="168"/>
      <c r="H11" s="169" t="str">
        <f t="array" ref="H11">IF(ROWS(H$11:H11)&lt;=$G$12,INDEX('DIAGNOSTIC DE LABORATOIRE'!$C$5:$C$15,SMALL(IF(labstage=1,IF(labstatus=0,ROW(labstatus)-ROW('DIAGNOSTIC DE LABORATOIRE'!$E$5)+1)),ROWS(H$11:H11))),"")</f>
        <v/>
      </c>
      <c r="I11" s="170" t="str">
        <f t="array" ref="I11">IF(ROWS(I$11:I11)&lt;=$G$13,INDEX('DIAGNOSTIC DE LABORATOIRE'!$C$5:$C$15,SMALL(IF(labstage=1,IF(labstatus=1,ROW(labstatus)-ROW('DIAGNOSTIC DE LABORATOIRE'!$F$5)+1)),ROWS(I$11:I11))),"")</f>
        <v>La capacité de diagnostic de la rage a été établi dans au moins un laboratoire national</v>
      </c>
      <c r="J11" s="168"/>
      <c r="K11" s="165" t="str">
        <f t="array" ref="K11">IF(ROWS(K$11:K11)&lt;=$J$12,INDEX('INFORMATION, ÉDUCTION ET LA COM'!$C$5:$C$21,SMALL(IF(iecstage=1,IF(iecstatus=0,ROW(iecstatus)-ROW('INFORMATION, ÉDUCTION ET LA COM'!$E$5)+1)),ROWS(K$11:K11))),"")</f>
        <v/>
      </c>
      <c r="L11" s="166" t="str">
        <f t="array" ref="L11">IF(ROWS(L$11:L11)&lt;=$J$13,INDEX('INFORMATION, ÉDUCTION ET LA COM'!$C$5:$C$21,SMALL(IF(iecstage=1,IF(iecstatus=1,ROW(iecstatus)-ROW('INFORMATION, ÉDUCTION ET LA COM'!$E$5)+1)),ROWS(L$11:L11))),"")</f>
        <v>Des études sur 'Knowledge, Attitude and Practice (KAP survey)' sur la rage ont été menées dans des zones pilotes</v>
      </c>
      <c r="M11" s="171"/>
      <c r="N11" s="169" t="str">
        <f t="array" ref="N11">IF(ROWS(N$11:N11)&lt;=$M$12,INDEX('PRÉVENTION ET DE CONTRÔLE'!$C$5:$C$29,SMALL(IF(prevstage=1,IF(prevstatus=0,ROW(prevstatus)-ROW('PRÉVENTION ET DE CONTRÔLE'!$E$5)+1)),ROWS(N$11:N11))),"")</f>
        <v/>
      </c>
      <c r="O11" s="170" t="str">
        <f t="array" ref="O11">IF(ROWS(O$11:O11)&lt;=$M$13,INDEX('PRÉVENTION ET DE CONTRÔLE'!$C$5:$C$29,SMALL(IF(prevstage=1,IF(prevstatus=1,ROW(prevstatus)-ROW('PRÉVENTION ET DE CONTRÔLE'!$E$5)+1)),ROWS(O$11:O11))),"")</f>
        <v>Des vaccins pour la prophylaxie de la rage humaine sont disponibles dans le pays</v>
      </c>
      <c r="P11" s="168"/>
      <c r="Q11" s="165" t="e">
        <f t="array" ref="Q11">IF(ROWS(Q$11:Q11)&lt;=$P$12,INDEX(#REF!,SMALL(IF(dogstage=1,IF(dogstatus=0,ROW(dogstatus)-ROW(#REF!)+1)),ROWS(Q$11:Q11))),"")</f>
        <v>#REF!</v>
      </c>
      <c r="R11" s="166" t="e">
        <f t="array" ref="R11">IF(ROWS(R$11:R11)&lt;=$P$13,INDEX(#REF!,SMALL(IF(dogstage=1,IF(dogstatus=1,ROW(dogstatus)-ROW(#REF!)+1)),ROWS(R$11:R11))),"")</f>
        <v>#REF!</v>
      </c>
      <c r="S11" s="168"/>
      <c r="T11" s="169" t="str">
        <f t="array" ref="T11">IF(ROWS(T$11:T11)&lt;=$S$12,INDEX('QUESTIONS TRANSVERSALES'!$C$5:$C$16,SMALL(IF(crossstage=1,IF(crossstatus=0,ROW(crossstatus)-ROW('QUESTIONS TRANSVERSALES'!$E$5)+1)),ROWS(T$11:T11))),"")</f>
        <v>Les consultations des acteurs ont eu lieu dans les 3 dernières années</v>
      </c>
      <c r="U11" s="170" t="str">
        <f t="array" ref="U11">IF(ROWS(U$11:U11)&lt;=$S$13,INDEX('QUESTIONS TRANSVERSALES'!$C$5:$C$16,SMALL(IF(crossstage=1,IF(crossstatus=1,ROW(crossstatus)-ROW('QUESTIONS TRANSVERSALES'!$E$5)+1)),ROWS(U$11:U11))),"")</f>
        <v>Les acteurs principaux et nationaux de la prévention et du contrôle de la rage ont été identifiés</v>
      </c>
      <c r="Z11" s="90"/>
    </row>
    <row r="12" spans="1:26" s="15" customFormat="1" ht="102" x14ac:dyDescent="0.25">
      <c r="A12" s="46">
        <f>SUMPRODUCT((STAGE=1)*(STATUS=0))</f>
        <v>0</v>
      </c>
      <c r="B12" s="178" t="str">
        <f t="array" ref="B12">IF(ROWS(B$11:B12)&lt;=$A$12,INDEX(LÉGISLATION!$C$5:$C$19,SMALL(IF(STAGE=1,IF(STATUS=0,ROW(STATUS)-ROW(LÉGISLATION!$E$5)+1)),ROWS(B$11:B12))),"")</f>
        <v/>
      </c>
      <c r="C12" s="173" t="str">
        <f t="array" ref="C12">IF(ROWS(C$11:C12)&lt;=$A$13,INDEX(LÉGISLATION!$C$5:$C$19,SMALL(IF(STAGE=1,IF(STATUS=1,ROW(STATUS)-ROW(LÉGISLATION!$E$5)+1)),ROWS(C$11:C12))),"")</f>
        <v>La définition de cas de rage humaine a été disséminée aux professionnels concernés</v>
      </c>
      <c r="D12" s="188">
        <f>SUMPRODUCT((datastage=1)*(datastatus=0))</f>
        <v>0</v>
      </c>
      <c r="E12" s="178" t="str">
        <f t="array" ref="E12">IF(ROWS(E$11:E12)&lt;=$D$12,INDEX('COLLECTE DE DONNÉES ET ANALYSE'!$C$5:$C$22,SMALL(IF(datastage=1,IF(datastatus=0,ROW(datastatus)-ROW('COLLECTE DE DONNÉES ET ANALYSE'!$E$5)+1)),ROWS(E$11:E12))),"")</f>
        <v/>
      </c>
      <c r="F12" s="173" t="str">
        <f t="array" ref="F12">IF(ROWS(F$11:F12)&lt;=$D$13,INDEX('COLLECTE DE DONNÉES ET ANALYSE'!$C$5:$C$22,SMALL(IF(datastage=1,IF(datastatus=1,ROW(datastatus)-ROW('COLLECTE DE DONNÉES ET ANALYSE'!$E$5)+1)),ROWS(F$11:F12))),"")</f>
        <v>Rapport des cas de rage humaine du niveau local jusqu'au niveau national</v>
      </c>
      <c r="G12" s="175">
        <f>SUMPRODUCT((labstage=1)*(labstatus=0))</f>
        <v>0</v>
      </c>
      <c r="H12" s="176" t="str">
        <f t="array" ref="H12">IF(ROWS(H$11:H12)&lt;=$G$12,INDEX('DIAGNOSTIC DE LABORATOIRE'!$C$5:$C$15,SMALL(IF(labstage=1,IF(labstatus=0,ROW(labstatus)-ROW('DIAGNOSTIC DE LABORATOIRE'!$E$5)+1)),ROWS(H$11:H12))),"")</f>
        <v/>
      </c>
      <c r="I12" s="177" t="str">
        <f t="array" ref="I12">IF(ROWS(I$11:I12)&lt;=$G$13,INDEX('DIAGNOSTIC DE LABORATOIRE'!$C$5:$C$15,SMALL(IF(labstage=1,IF(labstatus=1,ROW(labstatus)-ROW('DIAGNOSTIC DE LABORATOIRE'!$F$5)+1)),ROWS(I$11:I12))),"")</f>
        <v/>
      </c>
      <c r="J12" s="175">
        <f>SUMPRODUCT((iecstage=1)*(iecstatus=0))</f>
        <v>0</v>
      </c>
      <c r="K12" s="178" t="str">
        <f t="array" ref="K12">IF(ROWS(K$11:K12)&lt;=$J$12,INDEX('INFORMATION, ÉDUCTION ET LA COM'!$C$5:$C$21,SMALL(IF(iecstage=1,IF(iecstatus=0,ROW(iecstatus)-ROW('INFORMATION, ÉDUCTION ET LA COM'!$E$5)+1)),ROWS(K$11:K12))),"")</f>
        <v/>
      </c>
      <c r="L12" s="173" t="str">
        <f t="array" ref="L12">IF(ROWS(L$11:L12)&lt;=$J$13,INDEX('INFORMATION, ÉDUCTION ET LA COM'!$C$5:$C$21,SMALL(IF(iecstage=1,IF(iecstatus=1,ROW(iecstatus)-ROW('INFORMATION, ÉDUCTION ET LA COM'!$E$5)+1)),ROWS(L$11:L12))),"")</f>
        <v>Les publics cibles ont été identifiés pour les communications publiques, professionnelles et de plaidoyer (communautés à risque, les propriétaires de chiens, les professionnels de la santé, leader de la communauté/autorités à risque, politiciens)</v>
      </c>
      <c r="M12" s="179">
        <f>SUMPRODUCT((prevstage=1)*(prevstatus=0))</f>
        <v>0</v>
      </c>
      <c r="N12" s="176" t="str">
        <f t="array" ref="N12">IF(ROWS(N$11:N12)&lt;=$M$12,INDEX('PRÉVENTION ET DE CONTRÔLE'!$C$5:$C$29,SMALL(IF(prevstage=1,IF(prevstatus=0,ROW(prevstatus)-ROW('PRÉVENTION ET DE CONTRÔLE'!$E$5)+1)),ROWS(N$11:N12))),"")</f>
        <v/>
      </c>
      <c r="O12" s="177" t="str">
        <f t="array" ref="O12">IF(ROWS(O$11:O12)&lt;=$M$13,INDEX('PRÉVENTION ET DE CONTRÔLE'!$C$5:$C$29,SMALL(IF(prevstage=1,IF(prevstatus=1,ROW(prevstatus)-ROW('PRÉVENTION ET DE CONTRÔLE'!$E$5)+1)),ROWS(O$11:O12))),"")</f>
        <v>Une première évaluation sur l'accès aux PPE (Prophylaxie Post-Exposition) (et PrEP (Prophylaxie Pré-Exposition)) a été réalisée</v>
      </c>
      <c r="P12" s="175" t="e">
        <f>SUMPRODUCT((dogstage=1)*(dogstatus=0))</f>
        <v>#REF!</v>
      </c>
      <c r="Q12" s="178" t="e">
        <f t="array" ref="Q12">IF(ROWS(Q$11:Q12)&lt;=$P$12,INDEX(#REF!,SMALL(IF(dogstage=1,IF(dogstatus=0,ROW(dogstatus)-ROW(#REF!)+1)),ROWS(Q$11:Q12))),"")</f>
        <v>#REF!</v>
      </c>
      <c r="R12" s="173" t="e">
        <f t="array" ref="R12">IF(ROWS(R$11:R12)&lt;=$P$13,INDEX(#REF!,SMALL(IF(dogstage=1,IF(dogstatus=1,ROW(dogstatus)-ROW(#REF!)+1)),ROWS(R$11:R12))),"")</f>
        <v>#REF!</v>
      </c>
      <c r="S12" s="175">
        <f>SUMPRODUCT((crossstage=1)*(crossstatus=0))</f>
        <v>3</v>
      </c>
      <c r="T12" s="176" t="str">
        <f t="array" ref="T12">IF(ROWS(T$11:T12)&lt;=$S$12,INDEX('QUESTIONS TRANSVERSALES'!$C$5:$C$16,SMALL(IF(crossstage=1,IF(crossstatus=0,ROW(crossstatus)-ROW('QUESTIONS TRANSVERSALES'!$E$5)+1)),ROWS(T$11:T12))),"")</f>
        <v>Basé sur l'expérience de la zone pilote, un plan d'action de lutte contre la rage à court terme a été élaboré et approuvé par les parties prenantes au niveau local / national</v>
      </c>
      <c r="U12" s="177" t="str">
        <f t="array" ref="U12">IF(ROWS(U$11:U12)&lt;=$S$13,INDEX('QUESTIONS TRANSVERSALES'!$C$5:$C$16,SMALL(IF(crossstage=1,IF(crossstatus=1,ROW(crossstatus)-ROW('QUESTIONS TRANSVERSALES'!$E$5)+1)),ROWS(U$11:U12))),"")</f>
        <v>Un groupe de travail intersectoriel ou un comité au niveau local ou national a été créé et se réunit au moins deux fois par an</v>
      </c>
      <c r="Z12" s="90"/>
    </row>
    <row r="13" spans="1:26" s="15" customFormat="1" ht="51" x14ac:dyDescent="0.25">
      <c r="A13" s="46">
        <f>SUMPRODUCT((STAGE=1)*(STATUS=1))</f>
        <v>8</v>
      </c>
      <c r="B13" s="178" t="str">
        <f t="array" ref="B13">IF(ROWS(B$11:B13)&lt;=$A$12,INDEX(LÉGISLATION!$C$5:$C$19,SMALL(IF(STAGE=1,IF(STATUS=0,ROW(STATUS)-ROW(LÉGISLATION!$E$5)+1)),ROWS(B$11:B13))),"")</f>
        <v/>
      </c>
      <c r="C13" s="173" t="str">
        <f t="array" ref="C13">IF(ROWS(C$11:C13)&lt;=$A$13,INDEX(LÉGISLATION!$C$5:$C$19,SMALL(IF(STAGE=1,IF(STATUS=1,ROW(STATUS)-ROW(LÉGISLATION!$E$5)+1)),ROWS(C$11:C13))),"")</f>
        <v>Il existe un système juridique en matière de la prévention et du contrôle de la rage</v>
      </c>
      <c r="D13" s="188">
        <f>SUMPRODUCT((datastage=1)*(datastatus=1))</f>
        <v>6</v>
      </c>
      <c r="E13" s="178" t="str">
        <f t="array" ref="E13">IF(ROWS(E$11:E13)&lt;=$D$12,INDEX('COLLECTE DE DONNÉES ET ANALYSE'!$C$5:$C$22,SMALL(IF(datastage=1,IF(datastatus=0,ROW(datastatus)-ROW('COLLECTE DE DONNÉES ET ANALYSE'!$E$5)+1)),ROWS(E$11:E13))),"")</f>
        <v/>
      </c>
      <c r="F13" s="173" t="str">
        <f t="array" ref="F13">IF(ROWS(F$11:F13)&lt;=$D$13,INDEX('COLLECTE DE DONNÉES ET ANALYSE'!$C$5:$C$22,SMALL(IF(datastage=1,IF(datastatus=1,ROW(datastatus)-ROW('COLLECTE DE DONNÉES ET ANALYSE'!$E$5)+1)),ROWS(F$11:F13))),"")</f>
        <v>La capacité d'analyse des données sur les cas de rage canine au niveau national est introduite</v>
      </c>
      <c r="G13" s="175">
        <f>SUMPRODUCT((labstage=1)*(labstatus=1))</f>
        <v>1</v>
      </c>
      <c r="H13" s="176" t="str">
        <f t="array" ref="H13">IF(ROWS(H$11:H13)&lt;=$G$12,INDEX('DIAGNOSTIC DE LABORATOIRE'!$C$5:$C$15,SMALL(IF(labstage=1,IF(labstatus=0,ROW(labstatus)-ROW('DIAGNOSTIC DE LABORATOIRE'!$E$5)+1)),ROWS(H$11:H13))),"")</f>
        <v/>
      </c>
      <c r="I13" s="177" t="str">
        <f t="array" ref="I13">IF(ROWS(I$11:I13)&lt;=$G$13,INDEX('DIAGNOSTIC DE LABORATOIRE'!$C$5:$C$15,SMALL(IF(labstage=1,IF(labstatus=1,ROW(labstatus)-ROW('DIAGNOSTIC DE LABORATOIRE'!$F$5)+1)),ROWS(I$11:I13))),"")</f>
        <v/>
      </c>
      <c r="J13" s="175">
        <f>SUMPRODUCT((iecstage=1)*(iecstatus=1))</f>
        <v>5</v>
      </c>
      <c r="K13" s="178" t="str">
        <f t="array" ref="K13">IF(ROWS(K$11:K13)&lt;=$J$12,INDEX('INFORMATION, ÉDUCTION ET LA COM'!$C$5:$C$21,SMALL(IF(iecstage=1,IF(iecstatus=0,ROW(iecstatus)-ROW('INFORMATION, ÉDUCTION ET LA COM'!$E$5)+1)),ROWS(K$11:K13))),"")</f>
        <v/>
      </c>
      <c r="L13" s="173" t="str">
        <f t="array" ref="L13">IF(ROWS(L$11:L13)&lt;=$J$13,INDEX('INFORMATION, ÉDUCTION ET LA COM'!$C$5:$C$21,SMALL(IF(iecstage=1,IF(iecstatus=1,ROW(iecstatus)-ROW('INFORMATION, ÉDUCTION ET LA COM'!$E$5)+1)),ROWS(L$11:L13))),"")</f>
        <v>Un plan de communication de la rage a été développé pour les publics cibles des communautés, professionnels et de plaidoyer</v>
      </c>
      <c r="M13" s="179">
        <f>SUMPRODUCT((prevstage=1)*(prevstatus=1))</f>
        <v>5</v>
      </c>
      <c r="N13" s="176" t="str">
        <f t="array" ref="N13">IF(ROWS(N$11:N13)&lt;=$M$12,INDEX('PRÉVENTION ET DE CONTRÔLE'!$C$5:$C$29,SMALL(IF(prevstage=1,IF(prevstatus=0,ROW(prevstatus)-ROW('PRÉVENTION ET DE CONTRÔLE'!$E$5)+1)),ROWS(N$11:N13))),"")</f>
        <v/>
      </c>
      <c r="O13" s="177" t="str">
        <f t="array" ref="O13">IF(ROWS(O$11:O13)&lt;=$M$13,INDEX('PRÉVENTION ET DE CONTRÔLE'!$C$5:$C$29,SMALL(IF(prevstage=1,IF(prevstatus=1,ROW(prevstatus)-ROW('PRÉVENTION ET DE CONTRÔLE'!$E$5)+1)),ROWS(O$11:O13))),"")</f>
        <v>Les vaccins antirabiques pour les chiens sont disponibles dans le pays</v>
      </c>
      <c r="P13" s="175" t="e">
        <f>SUMPRODUCT((dogstage=1)*(dogstatus=1))</f>
        <v>#REF!</v>
      </c>
      <c r="Q13" s="178" t="e">
        <f t="array" ref="Q13">IF(ROWS(Q$11:Q13)&lt;=$P$12,INDEX(#REF!,SMALL(IF(dogstage=1,IF(dogstatus=0,ROW(dogstatus)-ROW(#REF!)+1)),ROWS(Q$11:Q13))),"")</f>
        <v>#REF!</v>
      </c>
      <c r="R13" s="173" t="e">
        <f t="array" ref="R13">IF(ROWS(R$11:R13)&lt;=$P$13,INDEX(#REF!,SMALL(IF(dogstage=1,IF(dogstatus=1,ROW(dogstatus)-ROW(#REF!)+1)),ROWS(R$11:R13))),"")</f>
        <v>#REF!</v>
      </c>
      <c r="S13" s="175">
        <f>SUMPRODUCT((crossstage=1)*(crossstatus=1))</f>
        <v>2</v>
      </c>
      <c r="T13" s="176" t="str">
        <f t="array" ref="T13">IF(ROWS(T$11:T13)&lt;=$S$12,INDEX('QUESTIONS TRANSVERSALES'!$C$5:$C$16,SMALL(IF(crossstage=1,IF(crossstatus=0,ROW(crossstatus)-ROW('QUESTIONS TRANSVERSALES'!$E$5)+1)),ROWS(T$11:T13))),"")</f>
        <v>Les mécanismes de mobilisation de fonds d'urgence en cas d'épidémie ont été identifiés</v>
      </c>
      <c r="U13" s="177" t="str">
        <f t="array" ref="U13">IF(ROWS(U$11:U13)&lt;=$S$13,INDEX('QUESTIONS TRANSVERSALES'!$C$5:$C$16,SMALL(IF(crossstage=1,IF(crossstatus=1,ROW(crossstatus)-ROW('QUESTIONS TRANSVERSALES'!$E$5)+1)),ROWS(U$11:U13))),"")</f>
        <v/>
      </c>
      <c r="Z13" s="90"/>
    </row>
    <row r="14" spans="1:26" s="15" customFormat="1" ht="63.75" x14ac:dyDescent="0.25">
      <c r="A14" s="47"/>
      <c r="B14" s="178" t="str">
        <f t="array" ref="B14">IF(ROWS(B$11:B14)&lt;=$A$12,INDEX(LÉGISLATION!$C$5:$C$19,SMALL(IF(STAGE=1,IF(STATUS=0,ROW(STATUS)-ROW(LÉGISLATION!$E$5)+1)),ROWS(B$11:B14))),"")</f>
        <v/>
      </c>
      <c r="C14" s="173" t="str">
        <f t="array" ref="C14">IF(ROWS(C$11:C14)&lt;=$A$13,INDEX(LÉGISLATION!$C$5:$C$19,SMALL(IF(STAGE=1,IF(STATUS=1,ROW(STATUS)-ROW(LÉGISLATION!$E$5)+1)),ROWS(C$11:C14))),"")</f>
        <v>S'il existe un système juridique, il a été testé pour déterminer s’il est adéquat.</v>
      </c>
      <c r="D14" s="188"/>
      <c r="E14" s="178" t="str">
        <f t="array" ref="E14">IF(ROWS(E$11:E14)&lt;=$D$12,INDEX('COLLECTE DE DONNÉES ET ANALYSE'!$C$5:$C$22,SMALL(IF(datastage=1,IF(datastatus=0,ROW(datastatus)-ROW('COLLECTE DE DONNÉES ET ANALYSE'!$E$5)+1)),ROWS(E$11:E14))),"")</f>
        <v/>
      </c>
      <c r="F14" s="173" t="str">
        <f t="array" ref="F14">IF(ROWS(F$11:F14)&lt;=$D$13,INDEX('COLLECTE DE DONNÉES ET ANALYSE'!$C$5:$C$22,SMALL(IF(datastage=1,IF(datastatus=1,ROW(datastatus)-ROW('COLLECTE DE DONNÉES ET ANALYSE'!$E$5)+1)),ROWS(F$11:F14))),"")</f>
        <v>La capacité d'analyse des données sur les cas de rage humaine au niveau national est introduite</v>
      </c>
      <c r="G14" s="175"/>
      <c r="H14" s="176" t="str">
        <f t="array" ref="H14">IF(ROWS(H$11:H14)&lt;=$G$12,INDEX('DIAGNOSTIC DE LABORATOIRE'!$C$5:$C$15,SMALL(IF(labstage=1,IF(labstatus=0,ROW(labstatus)-ROW('DIAGNOSTIC DE LABORATOIRE'!$E$5)+1)),ROWS(H$11:H14))),"")</f>
        <v/>
      </c>
      <c r="I14" s="177" t="str">
        <f t="array" ref="I14">IF(ROWS(I$11:I14)&lt;=$G$13,INDEX('DIAGNOSTIC DE LABORATOIRE'!$C$5:$C$15,SMALL(IF(labstage=1,IF(labstatus=1,ROW(labstatus)-ROW('DIAGNOSTIC DE LABORATOIRE'!$F$5)+1)),ROWS(I$11:I14))),"")</f>
        <v/>
      </c>
      <c r="J14" s="175"/>
      <c r="K14" s="178" t="str">
        <f t="array" ref="K14">IF(ROWS(K$11:K14)&lt;=$J$12,INDEX('INFORMATION, ÉDUCTION ET LA COM'!$C$5:$C$21,SMALL(IF(iecstage=1,IF(iecstatus=0,ROW(iecstatus)-ROW('INFORMATION, ÉDUCTION ET LA COM'!$E$5)+1)),ROWS(K$11:K14))),"")</f>
        <v/>
      </c>
      <c r="L14" s="173" t="str">
        <f t="array" ref="L14">IF(ROWS(L$11:L14)&lt;=$J$13,INDEX('INFORMATION, ÉDUCTION ET LA COM'!$C$5:$C$21,SMALL(IF(iecstage=1,IF(iecstatus=1,ROW(iecstatus)-ROW('INFORMATION, ÉDUCTION ET LA COM'!$E$5)+1)),ROWS(L$11:L14))),"")</f>
        <v>Education sur la prévention et le contrôle des communautés, y compris la prévention et la gestion des morsures de chien morsure de chien rage ont été explorées</v>
      </c>
      <c r="M14" s="179"/>
      <c r="N14" s="176" t="str">
        <f t="array" ref="N14">IF(ROWS(N$11:N14)&lt;=$M$12,INDEX('PRÉVENTION ET DE CONTRÔLE'!$C$5:$C$29,SMALL(IF(prevstage=1,IF(prevstatus=0,ROW(prevstatus)-ROW('PRÉVENTION ET DE CONTRÔLE'!$E$5)+1)),ROWS(N$11:N14))),"")</f>
        <v/>
      </c>
      <c r="O14" s="177" t="str">
        <f t="array" ref="O14">IF(ROWS(O$11:O14)&lt;=$M$13,INDEX('PRÉVENTION ET DE CONTRÔLE'!$C$5:$C$29,SMALL(IF(prevstage=1,IF(prevstatus=1,ROW(prevstatus)-ROW('PRÉVENTION ET DE CONTRÔLE'!$E$5)+1)),ROWS(O$11:O14))),"")</f>
        <v>La vaccination des chiens dans certaines régions ou zones pilotes du pays a commencé</v>
      </c>
      <c r="P14" s="175"/>
      <c r="Q14" s="178" t="e">
        <f t="array" ref="Q14">IF(ROWS(Q$11:Q14)&lt;=$P$12,INDEX(#REF!,SMALL(IF(dogstage=1,IF(dogstatus=0,ROW(dogstatus)-ROW(#REF!)+1)),ROWS(Q$11:Q14))),"")</f>
        <v>#REF!</v>
      </c>
      <c r="R14" s="173" t="e">
        <f t="array" ref="R14">IF(ROWS(R$11:R14)&lt;=$P$13,INDEX(#REF!,SMALL(IF(dogstage=1,IF(dogstatus=1,ROW(dogstatus)-ROW(#REF!)+1)),ROWS(R$11:R14))),"")</f>
        <v>#REF!</v>
      </c>
      <c r="S14" s="175"/>
      <c r="T14" s="176" t="str">
        <f t="array" ref="T14">IF(ROWS(T$11:T14)&lt;=$S$12,INDEX('QUESTIONS TRANSVERSALES'!$C$5:$C$16,SMALL(IF(crossstage=1,IF(crossstatus=0,ROW(crossstatus)-ROW('QUESTIONS TRANSVERSALES'!$E$5)+1)),ROWS(T$11:T14))),"")</f>
        <v/>
      </c>
      <c r="U14" s="177" t="str">
        <f t="array" ref="U14">IF(ROWS(U$11:U14)&lt;=$S$13,INDEX('QUESTIONS TRANSVERSALES'!$C$5:$C$16,SMALL(IF(crossstage=1,IF(crossstatus=1,ROW(crossstatus)-ROW('QUESTIONS TRANSVERSALES'!$E$5)+1)),ROWS(U$11:U14))),"")</f>
        <v/>
      </c>
      <c r="Z14" s="90"/>
    </row>
    <row r="15" spans="1:26" s="15" customFormat="1" ht="89.25" x14ac:dyDescent="0.25">
      <c r="A15" s="47"/>
      <c r="B15" s="178" t="str">
        <f t="array" ref="B15">IF(ROWS(B$11:B15)&lt;=$A$12,INDEX(LÉGISLATION!$C$5:$C$19,SMALL(IF(STAGE=1,IF(STATUS=0,ROW(STATUS)-ROW(LÉGISLATION!$E$5)+1)),ROWS(B$11:B15))),"")</f>
        <v/>
      </c>
      <c r="C15" s="173" t="str">
        <f t="array" ref="C15">IF(ROWS(C$11:C15)&lt;=$A$13,INDEX(LÉGISLATION!$C$5:$C$19,SMALL(IF(STAGE=1,IF(STATUS=1,ROW(STATUS)-ROW(LÉGISLATION!$E$5)+1)),ROWS(C$11:C15))),"")</f>
        <v>La rage animale est une maladie à déclaration obligatoire</v>
      </c>
      <c r="D15" s="188"/>
      <c r="E15" s="178" t="str">
        <f t="array" ref="E15">IF(ROWS(E$11:E15)&lt;=$D$12,INDEX('COLLECTE DE DONNÉES ET ANALYSE'!$C$5:$C$22,SMALL(IF(datastage=1,IF(datastatus=0,ROW(datastatus)-ROW('COLLECTE DE DONNÉES ET ANALYSE'!$E$5)+1)),ROWS(E$11:E15))),"")</f>
        <v/>
      </c>
      <c r="F15" s="173" t="str">
        <f t="array" ref="F15">IF(ROWS(F$11:F15)&lt;=$D$13,INDEX('COLLECTE DE DONNÉES ET ANALYSE'!$C$5:$C$22,SMALL(IF(datastage=1,IF(datastatus=1,ROW(datastatus)-ROW('COLLECTE DE DONNÉES ET ANALYSE'!$E$5)+1)),ROWS(F$11:F15))),"")</f>
        <v xml:space="preserve">Des registres de morsures de chiens sont examinés et les données sont compilées </v>
      </c>
      <c r="G15" s="175"/>
      <c r="H15" s="176" t="str">
        <f t="array" ref="H15">IF(ROWS(H$11:H15)&lt;=$G$12,INDEX('DIAGNOSTIC DE LABORATOIRE'!$C$5:$C$15,SMALL(IF(labstage=1,IF(labstatus=0,ROW(labstatus)-ROW('DIAGNOSTIC DE LABORATOIRE'!$E$5)+1)),ROWS(H$11:H15))),"")</f>
        <v/>
      </c>
      <c r="I15" s="177" t="str">
        <f t="array" ref="I15">IF(ROWS(I$11:I15)&lt;=$G$13,INDEX('DIAGNOSTIC DE LABORATOIRE'!$C$5:$C$15,SMALL(IF(labstage=1,IF(labstatus=1,ROW(labstatus)-ROW('DIAGNOSTIC DE LABORATOIRE'!$F$5)+1)),ROWS(I$11:I15))),"")</f>
        <v/>
      </c>
      <c r="J15" s="175"/>
      <c r="K15" s="178" t="str">
        <f t="array" ref="K15">IF(ROWS(K$11:K15)&lt;=$J$12,INDEX('INFORMATION, ÉDUCTION ET LA COM'!$C$5:$C$21,SMALL(IF(iecstage=1,IF(iecstatus=0,ROW(iecstatus)-ROW('INFORMATION, ÉDUCTION ET LA COM'!$E$5)+1)),ROWS(K$11:K15))),"")</f>
        <v/>
      </c>
      <c r="L15" s="173" t="str">
        <f t="array" ref="L15">IF(ROWS(L$11:L15)&lt;=$J$13,INDEX('INFORMATION, ÉDUCTION ET LA COM'!$C$5:$C$21,SMALL(IF(iecstage=1,IF(iecstatus=1,ROW(iecstatus)-ROW('INFORMATION, ÉDUCTION ET LA COM'!$E$5)+1)),ROWS(L$11:L15))),"")</f>
        <v>Des formations ou des cours de mis à niveau sur la rage pour les professionnels de la santé humaine et animale ont été initiés</v>
      </c>
      <c r="M15" s="179"/>
      <c r="N15" s="176" t="str">
        <f t="array" ref="N15">IF(ROWS(N$11:N15)&lt;=$M$12,INDEX('PRÉVENTION ET DE CONTRÔLE'!$C$5:$C$29,SMALL(IF(prevstage=1,IF(prevstatus=0,ROW(prevstatus)-ROW('PRÉVENTION ET DE CONTRÔLE'!$E$5)+1)),ROWS(N$11:N15))),"")</f>
        <v/>
      </c>
      <c r="O15" s="177" t="str">
        <f t="array" ref="O15">IF(ROWS(O$11:O15)&lt;=$M$13,INDEX('PRÉVENTION ET DE CONTRÔLE'!$C$5:$C$29,SMALL(IF(prevstage=1,IF(prevstatus=1,ROW(prevstatus)-ROW('PRÉVENTION ET DE CONTRÔLE'!$E$5)+1)),ROWS(O$11:O15))),"")</f>
        <v>Autres activités de contrôle de la rage tels que IBCM (Integrated Bite Case Management; Gestion intégrée de cas de morsure), la gestion de la population canine ont été mises en œuvre (au moins dans les zones pilotes)</v>
      </c>
      <c r="P15" s="175"/>
      <c r="Q15" s="178" t="e">
        <f t="array" ref="Q15">IF(ROWS(Q$11:Q15)&lt;=$P$12,INDEX(#REF!,SMALL(IF(dogstage=1,IF(dogstatus=0,ROW(dogstatus)-ROW(#REF!)+1)),ROWS(Q$11:Q15))),"")</f>
        <v>#REF!</v>
      </c>
      <c r="R15" s="173" t="e">
        <f t="array" ref="R15">IF(ROWS(R$11:R15)&lt;=$P$13,INDEX(#REF!,SMALL(IF(dogstage=1,IF(dogstatus=1,ROW(dogstatus)-ROW(#REF!)+1)),ROWS(R$11:R15))),"")</f>
        <v>#REF!</v>
      </c>
      <c r="S15" s="175"/>
      <c r="T15" s="176" t="str">
        <f t="array" ref="T15">IF(ROWS(T$11:T15)&lt;=$S$12,INDEX('QUESTIONS TRANSVERSALES'!$C$5:$C$16,SMALL(IF(crossstage=1,IF(crossstatus=0,ROW(crossstatus)-ROW('QUESTIONS TRANSVERSALES'!$E$5)+1)),ROWS(T$11:T15))),"")</f>
        <v/>
      </c>
      <c r="U15" s="177" t="str">
        <f t="array" ref="U15">IF(ROWS(U$11:U15)&lt;=$S$13,INDEX('QUESTIONS TRANSVERSALES'!$C$5:$C$16,SMALL(IF(crossstage=1,IF(crossstatus=1,ROW(crossstatus)-ROW('QUESTIONS TRANSVERSALES'!$E$5)+1)),ROWS(U$11:U15))),"")</f>
        <v/>
      </c>
      <c r="Z15" s="90"/>
    </row>
    <row r="16" spans="1:26" s="15" customFormat="1" ht="51" x14ac:dyDescent="0.25">
      <c r="A16" s="47"/>
      <c r="B16" s="178" t="str">
        <f t="array" ref="B16">IF(ROWS(B$11:B16)&lt;=$A$12,INDEX(LÉGISLATION!$C$5:$C$19,SMALL(IF(STAGE=1,IF(STATUS=0,ROW(STATUS)-ROW(LÉGISLATION!$E$5)+1)),ROWS(B$11:B16))),"")</f>
        <v/>
      </c>
      <c r="C16" s="173" t="str">
        <f t="array" ref="C16">IF(ROWS(C$11:C16)&lt;=$A$13,INDEX(LÉGISLATION!$C$5:$C$19,SMALL(IF(STAGE=1,IF(STATUS=1,ROW(STATUS)-ROW(LÉGISLATION!$E$5)+1)),ROWS(C$11:C16))),"")</f>
        <v>La rage humaine est une maladie à déclaration obligatoire</v>
      </c>
      <c r="D16" s="188"/>
      <c r="E16" s="178" t="str">
        <f t="array" ref="E16">IF(ROWS(E$11:E16)&lt;=$D$12,INDEX('COLLECTE DE DONNÉES ET ANALYSE'!$C$5:$C$22,SMALL(IF(datastage=1,IF(datastatus=0,ROW(datastatus)-ROW('COLLECTE DE DONNÉES ET ANALYSE'!$E$5)+1)),ROWS(E$11:E16))),"")</f>
        <v/>
      </c>
      <c r="F16" s="173" t="str">
        <f t="array" ref="F16">IF(ROWS(F$11:F16)&lt;=$D$13,INDEX('COLLECTE DE DONNÉES ET ANALYSE'!$C$5:$C$22,SMALL(IF(datastage=1,IF(datastatus=1,ROW(datastatus)-ROW('COLLECTE DE DONNÉES ET ANALYSE'!$E$5)+1)),ROWS(F$11:F16))),"")</f>
        <v xml:space="preserve">Des études sur la population canine ont été effectuées dans les zones pilotes pour déterminer la taille,  la dynamique et l’accessibilité </v>
      </c>
      <c r="G16" s="175"/>
      <c r="H16" s="176" t="str">
        <f t="array" ref="H16">IF(ROWS(H$11:H16)&lt;=$G$12,INDEX('DIAGNOSTIC DE LABORATOIRE'!$C$5:$C$15,SMALL(IF(labstage=1,IF(labstatus=0,ROW(labstatus)-ROW('DIAGNOSTIC DE LABORATOIRE'!$E$5)+1)),ROWS(H$11:H16))),"")</f>
        <v/>
      </c>
      <c r="I16" s="177" t="str">
        <f t="array" ref="I16">IF(ROWS(I$11:I16)&lt;=$G$13,INDEX('DIAGNOSTIC DE LABORATOIRE'!$C$5:$C$15,SMALL(IF(labstage=1,IF(labstatus=1,ROW(labstatus)-ROW('DIAGNOSTIC DE LABORATOIRE'!$F$5)+1)),ROWS(I$11:I16))),"")</f>
        <v/>
      </c>
      <c r="J16" s="175"/>
      <c r="K16" s="178" t="str">
        <f t="array" ref="K16">IF(ROWS(K$11:K16)&lt;=$J$12,INDEX('INFORMATION, ÉDUCTION ET LA COM'!$C$5:$C$21,SMALL(IF(iecstage=1,IF(iecstatus=0,ROW(iecstatus)-ROW('INFORMATION, ÉDUCTION ET LA COM'!$E$5)+1)),ROWS(K$11:K16))),"")</f>
        <v/>
      </c>
      <c r="L16" s="173" t="str">
        <f t="array" ref="L16">IF(ROWS(L$11:L16)&lt;=$J$13,INDEX('INFORMATION, ÉDUCTION ET LA COM'!$C$5:$C$21,SMALL(IF(iecstage=1,IF(iecstatus=1,ROW(iecstatus)-ROW('INFORMATION, ÉDUCTION ET LA COM'!$E$5)+1)),ROWS(L$11:L16))),"")</f>
        <v/>
      </c>
      <c r="M16" s="179"/>
      <c r="N16" s="176" t="str">
        <f t="array" ref="N16">IF(ROWS(N$11:N16)&lt;=$M$12,INDEX('PRÉVENTION ET DE CONTRÔLE'!$C$5:$C$29,SMALL(IF(prevstage=1,IF(prevstatus=0,ROW(prevstatus)-ROW('PRÉVENTION ET DE CONTRÔLE'!$E$5)+1)),ROWS(N$11:N16))),"")</f>
        <v/>
      </c>
      <c r="O16" s="177" t="str">
        <f t="array" ref="O16">IF(ROWS(O$11:O16)&lt;=$M$13,INDEX('PRÉVENTION ET DE CONTRÔLE'!$C$5:$C$29,SMALL(IF(prevstage=1,IF(prevstatus=1,ROW(prevstatus)-ROW('PRÉVENTION ET DE CONTRÔLE'!$E$5)+1)),ROWS(O$11:O16))),"")</f>
        <v/>
      </c>
      <c r="P16" s="175"/>
      <c r="Q16" s="178" t="e">
        <f t="array" ref="Q16">IF(ROWS(Q$11:Q16)&lt;=$P$12,INDEX(#REF!,SMALL(IF(dogstage=1,IF(dogstatus=0,ROW(dogstatus)-ROW(#REF!)+1)),ROWS(Q$11:Q16))),"")</f>
        <v>#REF!</v>
      </c>
      <c r="R16" s="173" t="e">
        <f t="array" ref="R16">IF(ROWS(R$11:R16)&lt;=$P$13,INDEX(#REF!,SMALL(IF(dogstage=1,IF(dogstatus=1,ROW(dogstatus)-ROW(#REF!)+1)),ROWS(R$11:R16))),"")</f>
        <v>#REF!</v>
      </c>
      <c r="S16" s="175"/>
      <c r="T16" s="176" t="str">
        <f t="array" ref="T16">IF(ROWS(T$11:T16)&lt;=$S$12,INDEX('QUESTIONS TRANSVERSALES'!$C$5:$C$16,SMALL(IF(crossstage=1,IF(crossstatus=0,ROW(crossstatus)-ROW('QUESTIONS TRANSVERSALES'!$E$5)+1)),ROWS(T$11:T16))),"")</f>
        <v/>
      </c>
      <c r="U16" s="177" t="str">
        <f t="array" ref="U16">IF(ROWS(U$11:U16)&lt;=$S$13,INDEX('QUESTIONS TRANSVERSALES'!$C$5:$C$16,SMALL(IF(crossstage=1,IF(crossstatus=1,ROW(crossstatus)-ROW('QUESTIONS TRANSVERSALES'!$E$5)+1)),ROWS(U$11:U16))),"")</f>
        <v/>
      </c>
      <c r="Z16" s="90"/>
    </row>
    <row r="17" spans="1:26" s="15" customFormat="1" ht="63.75" x14ac:dyDescent="0.25">
      <c r="A17" s="47"/>
      <c r="B17" s="178" t="str">
        <f t="array" ref="B17">IF(ROWS(B$11:B17)&lt;=$A$12,INDEX(LÉGISLATION!$C$5:$C$19,SMALL(IF(STAGE=1,IF(STATUS=0,ROW(STATUS)-ROW(LÉGISLATION!$E$5)+1)),ROWS(B$11:B17))),"")</f>
        <v/>
      </c>
      <c r="C17" s="173" t="str">
        <f t="array" ref="C17">IF(ROWS(C$11:C17)&lt;=$A$13,INDEX(LÉGISLATION!$C$5:$C$19,SMALL(IF(STAGE=1,IF(STATUS=1,ROW(STATUS)-ROW(LÉGISLATION!$E$5)+1)),ROWS(C$11:C17))),"")</f>
        <v>La législation comprend la vaccination obligatoire des chiens contre la rage, ou au moins propose la vaccination si la législation n’existe pas</v>
      </c>
      <c r="D17" s="188"/>
      <c r="E17" s="178" t="str">
        <f t="array" ref="E17">IF(ROWS(E$11:E17)&lt;=$D$12,INDEX('COLLECTE DE DONNÉES ET ANALYSE'!$C$5:$C$22,SMALL(IF(datastage=1,IF(datastatus=0,ROW(datastatus)-ROW('COLLECTE DE DONNÉES ET ANALYSE'!$E$5)+1)),ROWS(E$11:E17))),"")</f>
        <v/>
      </c>
      <c r="F17" s="173" t="str">
        <f t="array" ref="F17">IF(ROWS(F$11:F17)&lt;=$D$13,INDEX('COLLECTE DE DONNÉES ET ANALYSE'!$C$5:$C$22,SMALL(IF(datastage=1,IF(datastatus=1,ROW(datastatus)-ROW('COLLECTE DE DONNÉES ET ANALYSE'!$E$5)+1)),ROWS(F$11:F17))),"")</f>
        <v/>
      </c>
      <c r="G17" s="175"/>
      <c r="H17" s="176" t="str">
        <f t="array" ref="H17">IF(ROWS(H$11:H17)&lt;=$G$12,INDEX('DIAGNOSTIC DE LABORATOIRE'!$C$5:$C$15,SMALL(IF(labstage=1,IF(labstatus=0,ROW(labstatus)-ROW('DIAGNOSTIC DE LABORATOIRE'!$E$5)+1)),ROWS(H$11:H17))),"")</f>
        <v/>
      </c>
      <c r="I17" s="177" t="str">
        <f t="array" ref="I17">IF(ROWS(I$11:I17)&lt;=$G$13,INDEX('DIAGNOSTIC DE LABORATOIRE'!$C$5:$C$15,SMALL(IF(labstage=1,IF(labstatus=1,ROW(labstatus)-ROW('DIAGNOSTIC DE LABORATOIRE'!$F$5)+1)),ROWS(I$11:I17))),"")</f>
        <v/>
      </c>
      <c r="J17" s="175"/>
      <c r="K17" s="178" t="str">
        <f t="array" ref="K17">IF(ROWS(K$11:K17)&lt;=$J$12,INDEX('INFORMATION, ÉDUCTION ET LA COM'!$C$5:$C$21,SMALL(IF(iecstage=1,IF(iecstatus=0,ROW(iecstatus)-ROW('INFORMATION, ÉDUCTION ET LA COM'!$E$5)+1)),ROWS(K$11:K17))),"")</f>
        <v/>
      </c>
      <c r="L17" s="173" t="str">
        <f t="array" ref="L17">IF(ROWS(L$11:L17)&lt;=$J$13,INDEX('INFORMATION, ÉDUCTION ET LA COM'!$C$5:$C$21,SMALL(IF(iecstage=1,IF(iecstatus=1,ROW(iecstatus)-ROW('INFORMATION, ÉDUCTION ET LA COM'!$E$5)+1)),ROWS(L$11:L17))),"")</f>
        <v/>
      </c>
      <c r="M17" s="179"/>
      <c r="N17" s="176" t="str">
        <f t="array" ref="N17">IF(ROWS(N$11:N17)&lt;=$M$12,INDEX('PRÉVENTION ET DE CONTRÔLE'!$C$5:$C$29,SMALL(IF(prevstage=1,IF(prevstatus=0,ROW(prevstatus)-ROW('PRÉVENTION ET DE CONTRÔLE'!$E$5)+1)),ROWS(N$11:N17))),"")</f>
        <v/>
      </c>
      <c r="O17" s="177" t="str">
        <f t="array" ref="O17">IF(ROWS(O$11:O17)&lt;=$M$13,INDEX('PRÉVENTION ET DE CONTRÔLE'!$C$5:$C$29,SMALL(IF(prevstage=1,IF(prevstatus=1,ROW(prevstatus)-ROW('PRÉVENTION ET DE CONTRÔLE'!$E$5)+1)),ROWS(O$11:O17))),"")</f>
        <v/>
      </c>
      <c r="P17" s="175"/>
      <c r="Q17" s="178" t="e">
        <f t="array" ref="Q17">IF(ROWS(Q$11:Q17)&lt;=$P$12,INDEX(#REF!,SMALL(IF(dogstage=1,IF(dogstatus=0,ROW(dogstatus)-ROW(#REF!)+1)),ROWS(Q$11:Q17))),"")</f>
        <v>#REF!</v>
      </c>
      <c r="R17" s="173" t="e">
        <f t="array" ref="R17">IF(ROWS(R$11:R17)&lt;=$P$13,INDEX(#REF!,SMALL(IF(dogstage=1,IF(dogstatus=1,ROW(dogstatus)-ROW(#REF!)+1)),ROWS(R$11:R17))),"")</f>
        <v>#REF!</v>
      </c>
      <c r="S17" s="175"/>
      <c r="T17" s="176" t="str">
        <f t="array" ref="T17">IF(ROWS(T$11:T17)&lt;=$S$12,INDEX('QUESTIONS TRANSVERSALES'!$C$5:$C$16,SMALL(IF(crossstage=1,IF(crossstatus=0,ROW(crossstatus)-ROW('QUESTIONS TRANSVERSALES'!$E$5)+1)),ROWS(T$11:T17))),"")</f>
        <v/>
      </c>
      <c r="U17" s="177" t="str">
        <f t="array" ref="U17">IF(ROWS(U$11:U17)&lt;=$S$13,INDEX('QUESTIONS TRANSVERSALES'!$C$5:$C$16,SMALL(IF(crossstage=1,IF(crossstatus=1,ROW(crossstatus)-ROW('QUESTIONS TRANSVERSALES'!$E$5)+1)),ROWS(U$11:U17))),"")</f>
        <v/>
      </c>
      <c r="Z17" s="90"/>
    </row>
    <row r="18" spans="1:26" s="15" customFormat="1" ht="38.25" x14ac:dyDescent="0.25">
      <c r="A18" s="47"/>
      <c r="B18" s="178" t="str">
        <f t="array" ref="B18">IF(ROWS(B$11:B18)&lt;=$A$12,INDEX(LÉGISLATION!$C$5:$C$19,SMALL(IF(STAGE=1,IF(STATUS=0,ROW(STATUS)-ROW(LÉGISLATION!$E$5)+1)),ROWS(B$11:B18))),"")</f>
        <v/>
      </c>
      <c r="C18" s="173" t="str">
        <f t="array" ref="C18">IF(ROWS(C$11:C18)&lt;=$A$13,INDEX(LÉGISLATION!$C$5:$C$19,SMALL(IF(STAGE=1,IF(STATUS=1,ROW(STATUS)-ROW(LÉGISLATION!$E$5)+1)),ROWS(C$11:C18))),"")</f>
        <v>La législation comprend des mesures d’intervention concernant une épidémie</v>
      </c>
      <c r="D18" s="188"/>
      <c r="E18" s="178" t="str">
        <f t="array" ref="E18">IF(ROWS(E$11:E18)&lt;=$D$12,INDEX('COLLECTE DE DONNÉES ET ANALYSE'!$C$5:$C$22,SMALL(IF(datastage=1,IF(datastatus=0,ROW(datastatus)-ROW('COLLECTE DE DONNÉES ET ANALYSE'!$E$5)+1)),ROWS(E$11:E18))),"")</f>
        <v/>
      </c>
      <c r="F18" s="173" t="str">
        <f t="array" ref="F18">IF(ROWS(F$11:F18)&lt;=$D$13,INDEX('COLLECTE DE DONNÉES ET ANALYSE'!$C$5:$C$22,SMALL(IF(datastage=1,IF(datastatus=1,ROW(datastatus)-ROW('COLLECTE DE DONNÉES ET ANALYSE'!$E$5)+1)),ROWS(F$11:F18))),"")</f>
        <v/>
      </c>
      <c r="G18" s="175"/>
      <c r="H18" s="176" t="str">
        <f t="array" ref="H18">IF(ROWS(H$11:H18)&lt;=$G$12,INDEX('DIAGNOSTIC DE LABORATOIRE'!$C$5:$C$15,SMALL(IF(labstage=1,IF(labstatus=0,ROW(labstatus)-ROW('DIAGNOSTIC DE LABORATOIRE'!$E$5)+1)),ROWS(H$11:H18))),"")</f>
        <v/>
      </c>
      <c r="I18" s="177" t="str">
        <f t="array" ref="I18">IF(ROWS(I$11:I18)&lt;=$G$13,INDEX('DIAGNOSTIC DE LABORATOIRE'!$C$5:$C$15,SMALL(IF(labstage=1,IF(labstatus=1,ROW(labstatus)-ROW('DIAGNOSTIC DE LABORATOIRE'!$F$5)+1)),ROWS(I$11:I18))),"")</f>
        <v/>
      </c>
      <c r="J18" s="175"/>
      <c r="K18" s="178" t="str">
        <f t="array" ref="K18">IF(ROWS(K$11:K18)&lt;=$J$12,INDEX('INFORMATION, ÉDUCTION ET LA COM'!$C$5:$C$21,SMALL(IF(iecstage=1,IF(iecstatus=0,ROW(iecstatus)-ROW('INFORMATION, ÉDUCTION ET LA COM'!$E$5)+1)),ROWS(K$11:K18))),"")</f>
        <v/>
      </c>
      <c r="L18" s="173" t="str">
        <f t="array" ref="L18">IF(ROWS(L$11:L18)&lt;=$J$13,INDEX('INFORMATION, ÉDUCTION ET LA COM'!$C$5:$C$21,SMALL(IF(iecstage=1,IF(iecstatus=1,ROW(iecstatus)-ROW('INFORMATION, ÉDUCTION ET LA COM'!$E$5)+1)),ROWS(L$11:L18))),"")</f>
        <v/>
      </c>
      <c r="M18" s="179"/>
      <c r="N18" s="176" t="str">
        <f t="array" ref="N18">IF(ROWS(N$11:N18)&lt;=$M$12,INDEX('PRÉVENTION ET DE CONTRÔLE'!$C$5:$C$29,SMALL(IF(prevstage=1,IF(prevstatus=0,ROW(prevstatus)-ROW('PRÉVENTION ET DE CONTRÔLE'!$E$5)+1)),ROWS(N$11:N18))),"")</f>
        <v/>
      </c>
      <c r="O18" s="177" t="str">
        <f t="array" ref="O18">IF(ROWS(O$11:O18)&lt;=$M$13,INDEX('PRÉVENTION ET DE CONTRÔLE'!$C$5:$C$29,SMALL(IF(prevstage=1,IF(prevstatus=1,ROW(prevstatus)-ROW('PRÉVENTION ET DE CONTRÔLE'!$E$5)+1)),ROWS(O$11:O18))),"")</f>
        <v/>
      </c>
      <c r="P18" s="175"/>
      <c r="Q18" s="178" t="e">
        <f t="array" ref="Q18">IF(ROWS(Q$11:Q18)&lt;=$P$12,INDEX(#REF!,SMALL(IF(dogstage=1,IF(dogstatus=0,ROW(dogstatus)-ROW(#REF!)+1)),ROWS(Q$11:Q18))),"")</f>
        <v>#REF!</v>
      </c>
      <c r="R18" s="173" t="e">
        <f t="array" ref="R18">IF(ROWS(R$11:R18)&lt;=$P$13,INDEX(#REF!,SMALL(IF(dogstage=1,IF(dogstatus=1,ROW(dogstatus)-ROW(#REF!)+1)),ROWS(R$11:R18))),"")</f>
        <v>#REF!</v>
      </c>
      <c r="S18" s="175"/>
      <c r="T18" s="176" t="str">
        <f t="array" ref="T18">IF(ROWS(T$11:T18)&lt;=$S$12,INDEX('QUESTIONS TRANSVERSALES'!$C$5:$C$16,SMALL(IF(crossstage=1,IF(crossstatus=0,ROW(crossstatus)-ROW('QUESTIONS TRANSVERSALES'!$E$5)+1)),ROWS(T$11:T18))),"")</f>
        <v/>
      </c>
      <c r="U18" s="177" t="str">
        <f t="array" ref="U18">IF(ROWS(U$11:U18)&lt;=$S$13,INDEX('QUESTIONS TRANSVERSALES'!$C$5:$C$16,SMALL(IF(crossstage=1,IF(crossstatus=1,ROW(crossstatus)-ROW('QUESTIONS TRANSVERSALES'!$E$5)+1)),ROWS(U$11:U18))),"")</f>
        <v/>
      </c>
      <c r="Z18" s="93"/>
    </row>
    <row r="19" spans="1:26" s="15" customFormat="1" x14ac:dyDescent="0.25">
      <c r="A19" s="48"/>
      <c r="B19" s="180" t="str">
        <f t="array" ref="B19">IF(ROWS(B$11:B19)&lt;=$A$12,INDEX(LÉGISLATION!$C$5:$C$19,SMALL(IF(STAGE=1,IF(STATUS=0,ROW(STATUS)-ROW(LÉGISLATION!$E$5)+1)),ROWS(B$11:B19))),"")</f>
        <v/>
      </c>
      <c r="C19" s="181" t="str">
        <f t="array" ref="C19">IF(ROWS(C$11:C19)&lt;=$A$13,INDEX(LÉGISLATION!$C$5:$C$19,SMALL(IF(STAGE=1,IF(STATUS=1,ROW(STATUS)-ROW(LÉGISLATION!$E$5)+1)),ROWS(C$11:C19))),"")</f>
        <v/>
      </c>
      <c r="D19" s="189"/>
      <c r="E19" s="180" t="str">
        <f t="array" ref="E19">IF(ROWS(E$11:E19)&lt;=$D$12,INDEX('COLLECTE DE DONNÉES ET ANALYSE'!$C$5:$C$22,SMALL(IF(datastage=1,IF(datastatus=0,ROW(datastatus)-ROW('COLLECTE DE DONNÉES ET ANALYSE'!$E$5)+1)),ROWS(E$11:E19))),"")</f>
        <v/>
      </c>
      <c r="F19" s="181" t="str">
        <f t="array" ref="F19">IF(ROWS(F$11:F19)&lt;=$D$13,INDEX('COLLECTE DE DONNÉES ET ANALYSE'!$C$5:$C$22,SMALL(IF(datastage=1,IF(datastatus=1,ROW(datastatus)-ROW('COLLECTE DE DONNÉES ET ANALYSE'!$E$5)+1)),ROWS(F$11:F19))),"")</f>
        <v/>
      </c>
      <c r="G19" s="183"/>
      <c r="H19" s="184" t="str">
        <f t="array" ref="H19">IF(ROWS(H$11:H19)&lt;=$G$12,INDEX('DIAGNOSTIC DE LABORATOIRE'!$C$5:$C$15,SMALL(IF(labstage=1,IF(labstatus=0,ROW(labstatus)-ROW('DIAGNOSTIC DE LABORATOIRE'!$E$5)+1)),ROWS(H$11:H19))),"")</f>
        <v/>
      </c>
      <c r="I19" s="185" t="str">
        <f t="array" ref="I19">IF(ROWS(I$11:I19)&lt;=$G$13,INDEX('DIAGNOSTIC DE LABORATOIRE'!$C$5:$C$15,SMALL(IF(labstage=1,IF(labstatus=1,ROW(labstatus)-ROW('DIAGNOSTIC DE LABORATOIRE'!$F$5)+1)),ROWS(I$11:I19))),"")</f>
        <v/>
      </c>
      <c r="J19" s="183"/>
      <c r="K19" s="180" t="str">
        <f t="array" ref="K19">IF(ROWS(K$11:K19)&lt;=$J$12,INDEX('INFORMATION, ÉDUCTION ET LA COM'!$C$5:$C$21,SMALL(IF(iecstage=1,IF(iecstatus=0,ROW(iecstatus)-ROW('INFORMATION, ÉDUCTION ET LA COM'!$E$5)+1)),ROWS(K$11:K19))),"")</f>
        <v/>
      </c>
      <c r="L19" s="181" t="str">
        <f t="array" ref="L19">IF(ROWS(L$11:L19)&lt;=$J$13,INDEX('INFORMATION, ÉDUCTION ET LA COM'!$C$5:$C$21,SMALL(IF(iecstage=1,IF(iecstatus=1,ROW(iecstatus)-ROW('INFORMATION, ÉDUCTION ET LA COM'!$E$5)+1)),ROWS(L$11:L19))),"")</f>
        <v/>
      </c>
      <c r="M19" s="186"/>
      <c r="N19" s="184" t="str">
        <f t="array" ref="N19">IF(ROWS(N$11:N19)&lt;=$M$12,INDEX('PRÉVENTION ET DE CONTRÔLE'!$C$5:$C$29,SMALL(IF(prevstage=1,IF(prevstatus=0,ROW(prevstatus)-ROW('PRÉVENTION ET DE CONTRÔLE'!$E$5)+1)),ROWS(N$11:N19))),"")</f>
        <v/>
      </c>
      <c r="O19" s="185" t="str">
        <f t="array" ref="O19">IF(ROWS(O$11:O19)&lt;=$M$13,INDEX('PRÉVENTION ET DE CONTRÔLE'!$C$5:$C$29,SMALL(IF(prevstage=1,IF(prevstatus=1,ROW(prevstatus)-ROW('PRÉVENTION ET DE CONTRÔLE'!$E$5)+1)),ROWS(O$11:O19))),"")</f>
        <v/>
      </c>
      <c r="P19" s="183"/>
      <c r="Q19" s="180" t="e">
        <f t="array" ref="Q19">IF(ROWS(Q$11:Q19)&lt;=$P$12,INDEX(#REF!,SMALL(IF(dogstage=1,IF(dogstatus=0,ROW(dogstatus)-ROW(#REF!)+1)),ROWS(Q$11:Q19))),"")</f>
        <v>#REF!</v>
      </c>
      <c r="R19" s="181" t="e">
        <f t="array" ref="R19">IF(ROWS(R$11:R19)&lt;=$P$13,INDEX(#REF!,SMALL(IF(dogstage=1,IF(dogstatus=1,ROW(dogstatus)-ROW(#REF!)+1)),ROWS(R$11:R19))),"")</f>
        <v>#REF!</v>
      </c>
      <c r="S19" s="183"/>
      <c r="T19" s="184" t="str">
        <f t="array" ref="T19">IF(ROWS(T$11:T19)&lt;=$S$12,INDEX('QUESTIONS TRANSVERSALES'!$C$5:$C$16,SMALL(IF(crossstage=1,IF(crossstatus=0,ROW(crossstatus)-ROW('QUESTIONS TRANSVERSALES'!$E$5)+1)),ROWS(T$11:T19))),"")</f>
        <v/>
      </c>
      <c r="U19" s="185" t="str">
        <f t="array" ref="U19">IF(ROWS(U$11:U19)&lt;=$S$13,INDEX('QUESTIONS TRANSVERSALES'!$C$5:$C$16,SMALL(IF(crossstage=1,IF(crossstatus=1,ROW(crossstatus)-ROW('QUESTIONS TRANSVERSALES'!$E$5)+1)),ROWS(U$11:U19))),"")</f>
        <v/>
      </c>
      <c r="Z19" s="91"/>
    </row>
    <row r="20" spans="1:26" s="15" customFormat="1" ht="63.75" x14ac:dyDescent="0.25">
      <c r="A20" s="53">
        <v>2</v>
      </c>
      <c r="B20" s="165" t="str">
        <f t="array" ref="B20">IF(ROWS(B$20:B20)&lt;=$A$21,INDEX(LÉGISLATION!$C$5:$C$19,SMALL(IF(STAGE=2,IF(STATUS=0,ROW(STATUS)-ROW(LÉGISLATION!$E$5)+1)),ROWS(B$20:B20))),"")</f>
        <v/>
      </c>
      <c r="C20" s="166" t="str">
        <f t="array" ref="C20">IF(ROWS(C$20:C20)&lt;=$A$22,INDEX(LÉGISLATION!$C$5:$C$19,SMALL(IF(STAGE=2,IF(STATUS=1,ROW(STATUS)-ROW(LÉGISLATION!$E$5)+1)),ROWS(C$20:C20))),"")</f>
        <v>La définition de cas de rage animale a été examinée et approuvée (approche intersectorielle)</v>
      </c>
      <c r="D20" s="167"/>
      <c r="E20" s="165" t="str">
        <f t="array" ref="E20">IF(ROWS(E$20:E20)&lt;=$D$21,INDEX('COLLECTE DE DONNÉES ET ANALYSE'!$C$5:$C$22,SMALL(IF(datastage=2,IF(datastatus=0,ROW(datastatus)-ROW('COLLECTE DE DONNÉES ET ANALYSE'!$E$5)+1)),ROWS(E$20:E20))),"")</f>
        <v/>
      </c>
      <c r="F20" s="166" t="str">
        <f t="array" ref="F20">IF(ROWS(F$20:F20)&lt;=$D$22,INDEX('COLLECTE DE DONNÉES ET ANALYSE'!$C$5:$C$22,SMALL(IF(datastage=2,IF(datastatus=1,ROW(datastatus)-ROW('COLLECTE DE DONNÉES ET ANALYSE'!$E$5)+1)),ROWS(F$20:F20))),"")</f>
        <v>Mise en place de systèmes de surveillance de rage humaine et animale associés, y compris des SOPs (Modes opératoires standardisés)</v>
      </c>
      <c r="G20" s="168"/>
      <c r="H20" s="169" t="str">
        <f t="array" ref="H20">IF(ROWS(H$20:H20)&lt;=$G$21,INDEX('DIAGNOSTIC DE LABORATOIRE'!$C$5:$C$15,SMALL(IF(labstage=2,IF(labstatus=0,ROW(labstatus)-ROW('DIAGNOSTIC DE LABORATOIRE'!$E$5)+1)),ROWS(H$20:H20))),"")</f>
        <v/>
      </c>
      <c r="I20" s="170" t="str">
        <f t="array" ref="I20">IF(ROWS(I$20:I20)&lt;=$G$22,INDEX('DIAGNOSTIC DE LABORATOIRE'!$C$5:$C$15,SMALL(IF(labstage=2,IF(labstatus=1,ROW(labstatus)-ROW('DIAGNOSTIC DE LABORATOIRE'!$F$5)+1)),ROWS(I$20:I20))),"")</f>
        <v>Des diagnostics de routine des cas de rage animale en laboratoire sont effectués dans le pays</v>
      </c>
      <c r="J20" s="168"/>
      <c r="K20" s="165" t="str">
        <f t="array" ref="K20">IF(ROWS(K$20:K20)&lt;=$J$21,INDEX('INFORMATION, ÉDUCTION ET LA COM'!$C$5:$C$21,SMALL(IF(iecstage=2,IF(iecstatus=0,ROW(iecstatus)-ROW('INFORMATION, ÉDUCTION ET LA COM'!$E$5)+1)),ROWS(K$20:K20))),"")</f>
        <v/>
      </c>
      <c r="L20" s="166" t="str">
        <f t="array" ref="L20">IF(ROWS(L$20:L20)&lt;=$J$22,INDEX('INFORMATION, ÉDUCTION ET LA COM'!$C$5:$C$21,SMALL(IF(iecstage=2,IF(iecstatus=1,ROW(iecstatus)-ROW('INFORMATION, ÉDUCTION ET LA COM'!$E$5)+1)),ROWS(L$20:L20))),"")</f>
        <v>Des informations sur l'épidémiologie de la rage sont régulièrement partagées avec toutes les parties prenantes</v>
      </c>
      <c r="M20" s="171"/>
      <c r="N20" s="169" t="str">
        <f t="array" ref="N20">IF(ROWS(N$20:N20)&lt;=$M$21,INDEX('PRÉVENTION ET DE CONTRÔLE'!$C$5:$C$29,SMALL(IF(prevstage=2,IF(prevstatus=0,ROW(prevstatus)-ROW('PRÉVENTION ET DE CONTRÔLE'!$E$5)+1)),ROWS(N$20:N20))),"")</f>
        <v/>
      </c>
      <c r="O20" s="170" t="str">
        <f t="array" ref="O20">IF(ROWS(O$20:O20)&lt;=$M$22,INDEX('PRÉVENTION ET DE CONTRÔLE'!$C$5:$C$29,SMALL(IF(prevstage=2,IF(prevstatus=1,ROW(prevstatus)-ROW('PRÉVENTION ET DE CONTRÔLE'!$E$5)+1)),ROWS(O$20:O20))),"")</f>
        <v>Des vaccins antirabiques humains pré-qualifiés par l'OMS sont disponibles et accessibles dans la majorité des régions du pays</v>
      </c>
      <c r="P20" s="168"/>
      <c r="Q20" s="165" t="e">
        <f t="array" ref="Q20">IF(ROWS(Q$20:Q20)&lt;=$P$21,INDEX(#REF!,SMALL(IF(dogstage=2,IF(dogstatus=0,ROW(dogstatus)-ROW(#REF!)+1)),ROWS(Q$20:Q20))),"")</f>
        <v>#REF!</v>
      </c>
      <c r="R20" s="190" t="e">
        <f t="array" ref="R20">IF(ROWS(R$20:R20)&lt;=$P$22,INDEX(#REF!,SMALL(IF(dogstage=2,IF(dogstatus=1,ROW(dogstatus)-ROW(#REF!)+1)),ROWS(R$20:R20))),"")</f>
        <v>#REF!</v>
      </c>
      <c r="S20" s="168"/>
      <c r="T20" s="169" t="str">
        <f t="array" ref="T20">IF(ROWS(T$20:T20)&lt;=$S$21,INDEX('QUESTIONS TRANSVERSALES'!$C$5:$C$16,SMALL(IF(crossstage=2,IF(crossstatus=0,ROW(crossstatus)-ROW('QUESTIONS TRANSVERSALES'!$E$5)+1)),ROWS(T$20:T20))),"")</f>
        <v>Une stratégie nationale et un programme de prévention de rage, de contrôle et d'élimination éventuelle ont été rédigés et partagés avec toutes les parties prenantes</v>
      </c>
      <c r="U20" s="170" t="str">
        <f t="array" ref="U20">IF(ROWS(U$20:U20)&lt;=$S$22,INDEX('QUESTIONS TRANSVERSALES'!$C$5:$C$16,SMALL(IF(crossstage=2,IF(crossstatus=1,ROW(crossstatus)-ROW('QUESTIONS TRANSVERSALES'!$E$5)+1)),ROWS(U$20:U20))),"")</f>
        <v>Des mécanismes de collaboration intersectorielle régulière sont en place et ont été réalisés</v>
      </c>
      <c r="Z20" s="90"/>
    </row>
    <row r="21" spans="1:26" s="15" customFormat="1" ht="76.5" x14ac:dyDescent="0.25">
      <c r="A21" s="46">
        <f>SUMPRODUCT((STAGE=2)*(STATUS=0))</f>
        <v>0</v>
      </c>
      <c r="B21" s="178" t="str">
        <f t="array" ref="B21">IF(ROWS(B$20:B21)&lt;=$A$21,INDEX(LÉGISLATION!$C$5:$C$19,SMALL(IF(STAGE=2,IF(STATUS=0,ROW(STATUS)-ROW(LÉGISLATION!$E$5)+1)),ROWS(B$20:B21))),"")</f>
        <v/>
      </c>
      <c r="C21" s="173" t="str">
        <f t="array" ref="C21">IF(ROWS(C$20:C21)&lt;=$A$22,INDEX(LÉGISLATION!$C$5:$C$19,SMALL(IF(STAGE=2,IF(STATUS=1,ROW(STATUS)-ROW(LÉGISLATION!$E$5)+1)),ROWS(C$20:C21))),"")</f>
        <v>La définition de cas de rage humaine a été examinée et approuvée (approche intersectorielle)</v>
      </c>
      <c r="D21" s="174">
        <f>SUMPRODUCT((datastage=2)*(datastatus=0))</f>
        <v>0</v>
      </c>
      <c r="E21" s="178" t="str">
        <f t="array" ref="E21">IF(ROWS(E$20:E21)&lt;=$D$21,INDEX('COLLECTE DE DONNÉES ET ANALYSE'!$C$5:$C$22,SMALL(IF(datastage=2,IF(datastatus=0,ROW(datastatus)-ROW('COLLECTE DE DONNÉES ET ANALYSE'!$E$5)+1)),ROWS(E$20:E21))),"")</f>
        <v/>
      </c>
      <c r="F21" s="173" t="str">
        <f t="array" ref="F21">IF(ROWS(F$20:F21)&lt;=$D$22,INDEX('COLLECTE DE DONNÉES ET ANALYSE'!$C$5:$C$22,SMALL(IF(datastage=2,IF(datastatus=1,ROW(datastatus)-ROW('COLLECTE DE DONNÉES ET ANALYSE'!$E$5)+1)),ROWS(F$20:F21))),"")</f>
        <v>Des systèmes de surveillance de rage humaine, y compris des mécanismes de rétroaction, sont coordonnés entre les niveaux administratifs (national, province, district, municipal, etc.)</v>
      </c>
      <c r="G21" s="175">
        <f>SUMPRODUCT((labstage=2)*(labstatus=0))</f>
        <v>0</v>
      </c>
      <c r="H21" s="176" t="str">
        <f t="array" ref="H21">IF(ROWS(H$20:H21)&lt;=$G$21,INDEX('DIAGNOSTIC DE LABORATOIRE'!$C$5:$C$15,SMALL(IF(labstage=2,IF(labstatus=0,ROW(labstatus)-ROW('DIAGNOSTIC DE LABORATOIRE'!$E$5)+1)),ROWS(H$20:H21))),"")</f>
        <v/>
      </c>
      <c r="I21" s="177" t="str">
        <f t="array" ref="I21">IF(ROWS(I$20:I21)&lt;=$G$22,INDEX('DIAGNOSTIC DE LABORATOIRE'!$C$5:$C$15,SMALL(IF(labstage=2,IF(labstatus=1,ROW(labstatus)-ROW('DIAGNOSTIC DE LABORATOIRE'!$F$5)+1)),ROWS(I$20:I21))),"")</f>
        <v>La capacité de collecte d'échantillons et de transport a été établie</v>
      </c>
      <c r="J21" s="175">
        <f>SUMPRODUCT((iecstage=2)*(iecstatus=0))</f>
        <v>0</v>
      </c>
      <c r="K21" s="178" t="str">
        <f t="array" ref="K21">IF(ROWS(K$20:K21)&lt;=$J$21,INDEX('INFORMATION, ÉDUCTION ET LA COM'!$C$5:$C$21,SMALL(IF(iecstage=2,IF(iecstatus=0,ROW(iecstatus)-ROW('INFORMATION, ÉDUCTION ET LA COM'!$E$5)+1)),ROWS(K$20:K21))),"")</f>
        <v/>
      </c>
      <c r="L21" s="173" t="str">
        <f t="array" ref="L21">IF(ROWS(L$20:L21)&lt;=$J$22,INDEX('INFORMATION, ÉDUCTION ET LA COM'!$C$5:$C$21,SMALL(IF(iecstage=2,IF(iecstatus=1,ROW(iecstatus)-ROW('INFORMATION, ÉDUCTION ET LA COM'!$E$5)+1)),ROWS(L$20:L21))),"")</f>
        <v>Le plan de communication de la rage a été examiné et mis à jour</v>
      </c>
      <c r="M21" s="179">
        <f>SUMPRODUCT((prevstage=2)*(prevstatus=0))</f>
        <v>0</v>
      </c>
      <c r="N21" s="176" t="str">
        <f t="array" ref="N21">IF(ROWS(N$20:N21)&lt;=$M$21,INDEX('PRÉVENTION ET DE CONTRÔLE'!$C$5:$C$29,SMALL(IF(prevstage=2,IF(prevstatus=0,ROW(prevstatus)-ROW('PRÉVENTION ET DE CONTRÔLE'!$E$5)+1)),ROWS(N$20:N21))),"")</f>
        <v/>
      </c>
      <c r="O21" s="177" t="str">
        <f t="array" ref="O21">IF(ROWS(O$20:O21)&lt;=$M$22,INDEX('PRÉVENTION ET DE CONTRÔLE'!$C$5:$C$29,SMALL(IF(prevstage=2,IF(prevstatus=1,ROW(prevstatus)-ROW('PRÉVENTION ET DE CONTRÔLE'!$E$5)+1)),ROWS(O$20:O21))),"")</f>
        <v>L’utilisation des produits biologiques humains non pré-qualifiés par l'OMS est abandonné (par exemple des vaccins de tissu nerveux, des vaccins de mauvaise qualité)</v>
      </c>
      <c r="P21" s="175" t="e">
        <f>SUMPRODUCT((dogstage=2)*(dogstatus=0))</f>
        <v>#REF!</v>
      </c>
      <c r="Q21" s="178" t="e">
        <f t="array" ref="Q21">IF(ROWS(Q$20:Q21)&lt;=$P$21,INDEX(#REF!,SMALL(IF(dogstage=2,IF(dogstatus=0,ROW(dogstatus)-ROW(#REF!)+1)),ROWS(Q$20:Q21))),"")</f>
        <v>#REF!</v>
      </c>
      <c r="R21" s="191" t="e">
        <f t="array" ref="R21">IF(ROWS(R$20:R21)&lt;=$P$22,INDEX(#REF!,SMALL(IF(dogstage=2,IF(dogstatus=1,ROW(dogstatus)-ROW(#REF!)+1)),ROWS(R$20:R21))),"")</f>
        <v>#REF!</v>
      </c>
      <c r="S21" s="175">
        <f>SUMPRODUCT((crossstage=2)*(crossstatus=0))</f>
        <v>2</v>
      </c>
      <c r="T21" s="176" t="str">
        <f t="array" ref="T21">IF(ROWS(T$20:T21)&lt;=$S$21,INDEX('QUESTIONS TRANSVERSALES'!$C$5:$C$16,SMALL(IF(crossstage=2,IF(crossstatus=0,ROW(crossstatus)-ROW('QUESTIONS TRANSVERSALES'!$E$5)+1)),ROWS(T$20:T21))),"")</f>
        <v>Pour favoriser la stratégie et le programme nationaux de lutte contre la rage, les ressources du gouvernement ont été identifiées et allouées</v>
      </c>
      <c r="U21" s="177" t="str">
        <f t="array" ref="U21">IF(ROWS(U$20:U21)&lt;=$S$22,INDEX('QUESTIONS TRANSVERSALES'!$C$5:$C$16,SMALL(IF(crossstage=2,IF(crossstatus=1,ROW(crossstatus)-ROW('QUESTIONS TRANSVERSALES'!$E$5)+1)),ROWS(U$20:U21))),"")</f>
        <v>La contribution et le rôle du secteur privé a été clarifié et partagé avec d'autres parties prenantes</v>
      </c>
      <c r="Z21" s="90"/>
    </row>
    <row r="22" spans="1:26" s="15" customFormat="1" ht="76.5" x14ac:dyDescent="0.25">
      <c r="A22" s="46">
        <f>SUMPRODUCT((STAGE=2)*(STATUS=1))</f>
        <v>3</v>
      </c>
      <c r="B22" s="178" t="str">
        <f t="array" ref="B22">IF(ROWS(B$20:B22)&lt;=$A$21,INDEX(LÉGISLATION!$C$5:$C$19,SMALL(IF(STAGE=2,IF(STATUS=0,ROW(STATUS)-ROW(LÉGISLATION!$E$5)+1)),ROWS(B$20:B22))),"")</f>
        <v/>
      </c>
      <c r="C22" s="173" t="str">
        <f t="array" ref="C22">IF(ROWS(C$20:C22)&lt;=$A$22,INDEX(LÉGISLATION!$C$5:$C$19,SMALL(IF(STAGE=2,IF(STATUS=1,ROW(STATUS)-ROW(LÉGISLATION!$E$5)+1)),ROWS(C$20:C22))),"")</f>
        <v>Les cadres juridiques avec des spécifications relatives à la vaccination obligatoire des chiens et le mouvement international des animaux ont été mis à jour</v>
      </c>
      <c r="D22" s="174">
        <f>SUMPRODUCT((datastage=2)*(datastatus=1))</f>
        <v>4</v>
      </c>
      <c r="E22" s="178" t="str">
        <f t="array" ref="E22">IF(ROWS(E$20:E22)&lt;=$D$21,INDEX('COLLECTE DE DONNÉES ET ANALYSE'!$C$5:$C$22,SMALL(IF(datastage=2,IF(datastatus=0,ROW(datastatus)-ROW('COLLECTE DE DONNÉES ET ANALYSE'!$E$5)+1)),ROWS(E$20:E22))),"")</f>
        <v/>
      </c>
      <c r="F22" s="173" t="str">
        <f t="array" ref="F22">IF(ROWS(F$20:F22)&lt;=$D$22,INDEX('COLLECTE DE DONNÉES ET ANALYSE'!$C$5:$C$22,SMALL(IF(datastage=2,IF(datastatus=1,ROW(datastatus)-ROW('COLLECTE DE DONNÉES ET ANALYSE'!$E$5)+1)),ROWS(F$20:F22))),"")</f>
        <v>Des systèmes de surveillance de rage animale, y compris des mécanismes de rétroaction, sont coordonnés entre les niveaux administratifs (national, province, district, municipal, etc.)</v>
      </c>
      <c r="G22" s="175">
        <f>SUMPRODUCT((labstage=2)*(labstatus=1))</f>
        <v>2</v>
      </c>
      <c r="H22" s="176" t="str">
        <f t="array" ref="H22">IF(ROWS(H$20:H22)&lt;=$G$21,INDEX('DIAGNOSTIC DE LABORATOIRE'!$C$5:$C$15,SMALL(IF(labstage=2,IF(labstatus=0,ROW(labstatus)-ROW('DIAGNOSTIC DE LABORATOIRE'!$E$5)+1)),ROWS(H$20:H22))),"")</f>
        <v/>
      </c>
      <c r="I22" s="177" t="str">
        <f t="array" ref="I22">IF(ROWS(I$20:I22)&lt;=$G$22,INDEX('DIAGNOSTIC DE LABORATOIRE'!$C$5:$C$15,SMALL(IF(labstage=2,IF(labstatus=1,ROW(labstatus)-ROW('DIAGNOSTIC DE LABORATOIRE'!$F$5)+1)),ROWS(I$20:I22))),"")</f>
        <v/>
      </c>
      <c r="J22" s="175">
        <f>SUMPRODUCT((iecstage=2)*(iecstatus=1))</f>
        <v>5</v>
      </c>
      <c r="K22" s="178" t="str">
        <f t="array" ref="K22">IF(ROWS(K$20:K22)&lt;=$J$21,INDEX('INFORMATION, ÉDUCTION ET LA COM'!$C$5:$C$21,SMALL(IF(iecstage=2,IF(iecstatus=0,ROW(iecstatus)-ROW('INFORMATION, ÉDUCTION ET LA COM'!$E$5)+1)),ROWS(K$20:K22))),"")</f>
        <v/>
      </c>
      <c r="L22" s="173" t="str">
        <f t="array" ref="L22">IF(ROWS(L$20:L22)&lt;=$J$22,INDEX('INFORMATION, ÉDUCTION ET LA COM'!$C$5:$C$21,SMALL(IF(iecstage=2,IF(iecstatus=1,ROW(iecstatus)-ROW('INFORMATION, ÉDUCTION ET LA COM'!$E$5)+1)),ROWS(L$20:L22))),"")</f>
        <v>Des campagnes de sensibilisation à la rage, y compris des formations sur la possession responsable de chiens,  ont été étendues à plusieurs zones</v>
      </c>
      <c r="M22" s="179">
        <f>SUMPRODUCT((prevstage=2)*(prevstatus=1))</f>
        <v>7</v>
      </c>
      <c r="N22" s="176" t="str">
        <f t="array" ref="N22">IF(ROWS(N$20:N22)&lt;=$M$21,INDEX('PRÉVENTION ET DE CONTRÔLE'!$C$5:$C$29,SMALL(IF(prevstage=2,IF(prevstatus=0,ROW(prevstatus)-ROW('PRÉVENTION ET DE CONTRÔLE'!$E$5)+1)),ROWS(N$20:N22))),"")</f>
        <v/>
      </c>
      <c r="O22" s="177" t="str">
        <f t="array" ref="O22">IF(ROWS(O$20:O22)&lt;=$M$22,INDEX('PRÉVENTION ET DE CONTRÔLE'!$C$5:$C$29,SMALL(IF(prevstage=2,IF(prevstatus=1,ROW(prevstatus)-ROW('PRÉVENTION ET DE CONTRÔLE'!$E$5)+1)),ROWS(O$20:O22))),"")</f>
        <v xml:space="preserve">L’approvisionnement et l’accès des vaccins antirabiques humains, pré-qualifiés par l’OMS pour la PrEP (Prophylaxie Pré-Exposition), est assuré pour les professionnels à risque dans les zones pilotes </v>
      </c>
      <c r="P22" s="175" t="e">
        <f>SUMPRODUCT((dogstage=2)*(dogstatus=1))</f>
        <v>#REF!</v>
      </c>
      <c r="Q22" s="178" t="e">
        <f t="array" ref="Q22">IF(ROWS(Q$20:Q22)&lt;=$P$21,INDEX(#REF!,SMALL(IF(dogstage=2,IF(dogstatus=0,ROW(dogstatus)-ROW(#REF!)+1)),ROWS(Q$20:Q22))),"")</f>
        <v>#REF!</v>
      </c>
      <c r="R22" s="191" t="e">
        <f t="array" ref="R22">IF(ROWS(R$20:R22)&lt;=$P$22,INDEX(#REF!,SMALL(IF(dogstage=2,IF(dogstatus=1,ROW(dogstatus)-ROW(#REF!)+1)),ROWS(R$20:R22))),"")</f>
        <v>#REF!</v>
      </c>
      <c r="S22" s="175">
        <f>SUMPRODUCT((crossstage=2)*(crossstatus=1))</f>
        <v>2</v>
      </c>
      <c r="T22" s="176" t="str">
        <f t="array" ref="T22">IF(ROWS(T$20:T22)&lt;=$S$21,INDEX('QUESTIONS TRANSVERSALES'!$C$5:$C$16,SMALL(IF(crossstage=2,IF(crossstatus=0,ROW(crossstatus)-ROW('QUESTIONS TRANSVERSALES'!$E$5)+1)),ROWS(T$20:T22))),"")</f>
        <v/>
      </c>
      <c r="U22" s="177" t="str">
        <f t="array" ref="U22">IF(ROWS(U$20:U22)&lt;=$S$22,INDEX('QUESTIONS TRANSVERSALES'!$C$5:$C$16,SMALL(IF(crossstage=2,IF(crossstatus=1,ROW(crossstatus)-ROW('QUESTIONS TRANSVERSALES'!$E$5)+1)),ROWS(U$20:U22))),"")</f>
        <v/>
      </c>
      <c r="Z22" s="90"/>
    </row>
    <row r="23" spans="1:26" s="15" customFormat="1" ht="102" x14ac:dyDescent="0.25">
      <c r="A23" s="47"/>
      <c r="B23" s="178" t="str">
        <f t="array" ref="B23">IF(ROWS(B$20:B23)&lt;=$A$21,INDEX(LÉGISLATION!$C$5:$C$19,SMALL(IF(STAGE=2,IF(STATUS=0,ROW(STATUS)-ROW(LÉGISLATION!$E$5)+1)),ROWS(B$20:B23))),"")</f>
        <v/>
      </c>
      <c r="C23" s="173" t="str">
        <f t="array" ref="C23">IF(ROWS(C$20:C23)&lt;=$A$22,INDEX(LÉGISLATION!$C$5:$C$19,SMALL(IF(STAGE=2,IF(STATUS=1,ROW(STATUS)-ROW(LÉGISLATION!$E$5)+1)),ROWS(C$20:C23))),"")</f>
        <v/>
      </c>
      <c r="D23" s="174"/>
      <c r="E23" s="178" t="str">
        <f t="array" ref="E23">IF(ROWS(E$20:E23)&lt;=$D$21,INDEX('COLLECTE DE DONNÉES ET ANALYSE'!$C$5:$C$22,SMALL(IF(datastage=2,IF(datastatus=0,ROW(datastatus)-ROW('COLLECTE DE DONNÉES ET ANALYSE'!$E$5)+1)),ROWS(E$20:E23))),"")</f>
        <v/>
      </c>
      <c r="F23" s="173" t="str">
        <f t="array" ref="F23">IF(ROWS(F$20:F23)&lt;=$D$22,INDEX('COLLECTE DE DONNÉES ET ANALYSE'!$C$5:$C$22,SMALL(IF(datastage=2,IF(datastatus=1,ROW(datastatus)-ROW('COLLECTE DE DONNÉES ET ANALYSE'!$E$5)+1)),ROWS(F$20:F23))),"")</f>
        <v>Des informations sur l'épidémiologie de la rage sont régulièrement partagées avec toutes les parties prenantes</v>
      </c>
      <c r="G23" s="175"/>
      <c r="H23" s="176" t="str">
        <f t="array" ref="H23">IF(ROWS(H$20:H23)&lt;=$G$21,INDEX('DIAGNOSTIC DE LABORATOIRE'!$C$5:$C$15,SMALL(IF(labstage=2,IF(labstatus=0,ROW(labstatus)-ROW('DIAGNOSTIC DE LABORATOIRE'!$E$5)+1)),ROWS(H$20:H23))),"")</f>
        <v/>
      </c>
      <c r="I23" s="177" t="str">
        <f t="array" ref="I23">IF(ROWS(I$20:I23)&lt;=$G$22,INDEX('DIAGNOSTIC DE LABORATOIRE'!$C$5:$C$15,SMALL(IF(labstage=2,IF(labstatus=1,ROW(labstatus)-ROW('DIAGNOSTIC DE LABORATOIRE'!$F$5)+1)),ROWS(I$20:I23))),"")</f>
        <v/>
      </c>
      <c r="J23" s="175"/>
      <c r="K23" s="178" t="str">
        <f t="array" ref="K23">IF(ROWS(K$20:K23)&lt;=$J$21,INDEX('INFORMATION, ÉDUCTION ET LA COM'!$C$5:$C$21,SMALL(IF(iecstage=2,IF(iecstatus=0,ROW(iecstatus)-ROW('INFORMATION, ÉDUCTION ET LA COM'!$E$5)+1)),ROWS(K$20:K23))),"")</f>
        <v/>
      </c>
      <c r="L23" s="173" t="str">
        <f t="array" ref="L23">IF(ROWS(L$20:L23)&lt;=$J$22,INDEX('INFORMATION, ÉDUCTION ET LA COM'!$C$5:$C$21,SMALL(IF(iecstage=2,IF(iecstatus=1,ROW(iecstatus)-ROW('INFORMATION, ÉDUCTION ET LA COM'!$E$5)+1)),ROWS(L$20:L23))),"")</f>
        <v>Des campagnes de sensibilisation de la population ont été adaptées aux groupes cibles spécifiques (par exemple les leaders de la communauté, les autorités, les professionnels de la santé et les activistes de la journée mondiale de la rage)</v>
      </c>
      <c r="M23" s="179"/>
      <c r="N23" s="176" t="str">
        <f t="array" ref="N23">IF(ROWS(N$20:N23)&lt;=$M$21,INDEX('PRÉVENTION ET DE CONTRÔLE'!$C$5:$C$29,SMALL(IF(prevstage=2,IF(prevstatus=0,ROW(prevstatus)-ROW('PRÉVENTION ET DE CONTRÔLE'!$E$5)+1)),ROWS(N$20:N23))),"")</f>
        <v/>
      </c>
      <c r="O23" s="177" t="str">
        <f t="array" ref="O23">IF(ROWS(O$20:O23)&lt;=$M$22,INDEX('PRÉVENTION ET DE CONTRÔLE'!$C$5:$C$29,SMALL(IF(prevstage=2,IF(prevstatus=1,ROW(prevstatus)-ROW('PRÉVENTION ET DE CONTRÔLE'!$E$5)+1)),ROWS(O$20:O23))),"")</f>
        <v>Seuls des vaccins canins de qualité selon les standards l’OIE sont utilisées</v>
      </c>
      <c r="P23" s="175"/>
      <c r="Q23" s="178" t="e">
        <f t="array" ref="Q23">IF(ROWS(Q$20:Q23)&lt;=$P$21,INDEX(#REF!,SMALL(IF(dogstage=2,IF(dogstatus=0,ROW(dogstatus)-ROW(#REF!)+1)),ROWS(Q$20:Q23))),"")</f>
        <v>#REF!</v>
      </c>
      <c r="R23" s="191" t="e">
        <f t="array" ref="R23">IF(ROWS(R$20:R23)&lt;=$P$22,INDEX(#REF!,SMALL(IF(dogstage=2,IF(dogstatus=1,ROW(dogstatus)-ROW(#REF!)+1)),ROWS(R$20:R23))),"")</f>
        <v>#REF!</v>
      </c>
      <c r="S23" s="175"/>
      <c r="T23" s="176" t="str">
        <f t="array" ref="T23">IF(ROWS(T$20:T23)&lt;=$S$21,INDEX('QUESTIONS TRANSVERSALES'!$C$5:$C$16,SMALL(IF(crossstage=2,IF(crossstatus=0,ROW(crossstatus)-ROW('QUESTIONS TRANSVERSALES'!$E$5)+1)),ROWS(T$20:T23))),"")</f>
        <v/>
      </c>
      <c r="U23" s="177" t="str">
        <f t="array" ref="U23">IF(ROWS(U$20:U23)&lt;=$S$22,INDEX('QUESTIONS TRANSVERSALES'!$C$5:$C$16,SMALL(IF(crossstage=2,IF(crossstatus=1,ROW(crossstatus)-ROW('QUESTIONS TRANSVERSALES'!$E$5)+1)),ROWS(U$20:U23))),"")</f>
        <v/>
      </c>
      <c r="Z23" s="93"/>
    </row>
    <row r="24" spans="1:26" s="15" customFormat="1" ht="51" x14ac:dyDescent="0.25">
      <c r="A24" s="47"/>
      <c r="B24" s="178" t="str">
        <f t="array" ref="B24">IF(ROWS(B$20:B24)&lt;=$A$21,INDEX(LÉGISLATION!$C$5:$C$19,SMALL(IF(STAGE=2,IF(STATUS=0,ROW(STATUS)-ROW(LÉGISLATION!$E$5)+1)),ROWS(B$20:B24))),"")</f>
        <v/>
      </c>
      <c r="C24" s="173" t="str">
        <f t="array" ref="C24">IF(ROWS(C$20:C24)&lt;=$A$22,INDEX(LÉGISLATION!$C$5:$C$19,SMALL(IF(STAGE=2,IF(STATUS=1,ROW(STATUS)-ROW(LÉGISLATION!$E$5)+1)),ROWS(C$20:C24))),"")</f>
        <v/>
      </c>
      <c r="D24" s="174"/>
      <c r="E24" s="178" t="str">
        <f t="array" ref="E24">IF(ROWS(E$20:E24)&lt;=$D$21,INDEX('COLLECTE DE DONNÉES ET ANALYSE'!$C$5:$C$22,SMALL(IF(datastage=2,IF(datastatus=0,ROW(datastatus)-ROW('COLLECTE DE DONNÉES ET ANALYSE'!$E$5)+1)),ROWS(E$20:E24))),"")</f>
        <v/>
      </c>
      <c r="F24" s="173" t="str">
        <f t="array" ref="F24">IF(ROWS(F$20:F24)&lt;=$D$22,INDEX('COLLECTE DE DONNÉES ET ANALYSE'!$C$5:$C$22,SMALL(IF(datastage=2,IF(datastatus=1,ROW(datastatus)-ROW('COLLECTE DE DONNÉES ET ANALYSE'!$E$5)+1)),ROWS(F$20:F24))),"")</f>
        <v/>
      </c>
      <c r="G24" s="175"/>
      <c r="H24" s="176" t="str">
        <f t="array" ref="H24">IF(ROWS(H$20:H24)&lt;=$G$21,INDEX('DIAGNOSTIC DE LABORATOIRE'!$C$5:$C$15,SMALL(IF(labstage=2,IF(labstatus=0,ROW(labstatus)-ROW('DIAGNOSTIC DE LABORATOIRE'!$E$5)+1)),ROWS(H$20:H24))),"")</f>
        <v/>
      </c>
      <c r="I24" s="177" t="str">
        <f t="array" ref="I24">IF(ROWS(I$20:I24)&lt;=$G$22,INDEX('DIAGNOSTIC DE LABORATOIRE'!$C$5:$C$15,SMALL(IF(labstage=2,IF(labstatus=1,ROW(labstatus)-ROW('DIAGNOSTIC DE LABORATOIRE'!$F$5)+1)),ROWS(I$20:I24))),"")</f>
        <v/>
      </c>
      <c r="J24" s="175"/>
      <c r="K24" s="178" t="str">
        <f t="array" ref="K24">IF(ROWS(K$20:K24)&lt;=$J$21,INDEX('INFORMATION, ÉDUCTION ET LA COM'!$C$5:$C$21,SMALL(IF(iecstage=2,IF(iecstatus=0,ROW(iecstatus)-ROW('INFORMATION, ÉDUCTION ET LA COM'!$E$5)+1)),ROWS(K$20:K24))),"")</f>
        <v/>
      </c>
      <c r="L24" s="173" t="str">
        <f t="array" ref="L24">IF(ROWS(L$20:L24)&lt;=$J$22,INDEX('INFORMATION, ÉDUCTION ET LA COM'!$C$5:$C$21,SMALL(IF(iecstage=2,IF(iecstatus=1,ROW(iecstatus)-ROW('INFORMATION, ÉDUCTION ET LA COM'!$E$5)+1)),ROWS(L$20:L24))),"")</f>
        <v>Des formations pour le personnel de la santé humaine et animale ont été réalisées dans la plupart des régions du pays</v>
      </c>
      <c r="M24" s="179"/>
      <c r="N24" s="176" t="str">
        <f t="array" ref="N24">IF(ROWS(N$20:N24)&lt;=$M$21,INDEX('PRÉVENTION ET DE CONTRÔLE'!$C$5:$C$29,SMALL(IF(prevstage=2,IF(prevstatus=0,ROW(prevstatus)-ROW('PRÉVENTION ET DE CONTRÔLE'!$E$5)+1)),ROWS(N$20:N24))),"")</f>
        <v/>
      </c>
      <c r="O24" s="177" t="str">
        <f t="array" ref="O24">IF(ROWS(O$20:O24)&lt;=$M$22,INDEX('PRÉVENTION ET DE CONTRÔLE'!$C$5:$C$29,SMALL(IF(prevstage=2,IF(prevstatus=1,ROW(prevstatus)-ROW('PRÉVENTION ET DE CONTRÔLE'!$E$5)+1)),ROWS(O$20:O24))),"")</f>
        <v>Des campagnes de vaccination des chiens sont régulièrement mises en œuvre, en réponse aux cas humains et aux épidémies animales</v>
      </c>
      <c r="P24" s="175"/>
      <c r="Q24" s="178" t="e">
        <f t="array" ref="Q24">IF(ROWS(Q$20:Q24)&lt;=$P$21,INDEX(#REF!,SMALL(IF(dogstage=2,IF(dogstatus=0,ROW(dogstatus)-ROW(#REF!)+1)),ROWS(Q$20:Q24))),"")</f>
        <v>#REF!</v>
      </c>
      <c r="R24" s="191" t="e">
        <f t="array" ref="R24">IF(ROWS(R$20:R24)&lt;=$P$22,INDEX(#REF!,SMALL(IF(dogstage=2,IF(dogstatus=1,ROW(dogstatus)-ROW(#REF!)+1)),ROWS(R$20:R24))),"")</f>
        <v>#REF!</v>
      </c>
      <c r="S24" s="175"/>
      <c r="T24" s="176" t="str">
        <f t="array" ref="T24">IF(ROWS(T$20:T24)&lt;=$S$21,INDEX('QUESTIONS TRANSVERSALES'!$C$5:$C$16,SMALL(IF(crossstage=2,IF(crossstatus=0,ROW(crossstatus)-ROW('QUESTIONS TRANSVERSALES'!$E$5)+1)),ROWS(T$20:T24))),"")</f>
        <v/>
      </c>
      <c r="U24" s="177" t="str">
        <f t="array" ref="U24">IF(ROWS(U$20:U24)&lt;=$S$22,INDEX('QUESTIONS TRANSVERSALES'!$C$5:$C$16,SMALL(IF(crossstage=2,IF(crossstatus=1,ROW(crossstatus)-ROW('QUESTIONS TRANSVERSALES'!$E$5)+1)),ROWS(U$20:U24))),"")</f>
        <v/>
      </c>
      <c r="Z24" s="90"/>
    </row>
    <row r="25" spans="1:26" s="15" customFormat="1" ht="76.5" x14ac:dyDescent="0.25">
      <c r="A25" s="47"/>
      <c r="B25" s="178" t="str">
        <f t="array" ref="B25">IF(ROWS(B$20:B25)&lt;=$A$21,INDEX(LÉGISLATION!$C$5:$C$19,SMALL(IF(STAGE=2,IF(STATUS=0,ROW(STATUS)-ROW(LÉGISLATION!$E$5)+1)),ROWS(B$20:B25))),"")</f>
        <v/>
      </c>
      <c r="C25" s="173" t="str">
        <f t="array" ref="C25">IF(ROWS(C$20:C25)&lt;=$A$22,INDEX(LÉGISLATION!$C$5:$C$19,SMALL(IF(STAGE=2,IF(STATUS=1,ROW(STATUS)-ROW(LÉGISLATION!$E$5)+1)),ROWS(C$20:C25))),"")</f>
        <v/>
      </c>
      <c r="D25" s="174"/>
      <c r="E25" s="178" t="str">
        <f t="array" ref="E25">IF(ROWS(E$20:E25)&lt;=$D$21,INDEX('COLLECTE DE DONNÉES ET ANALYSE'!$C$5:$C$22,SMALL(IF(datastage=2,IF(datastatus=0,ROW(datastatus)-ROW('COLLECTE DE DONNÉES ET ANALYSE'!$E$5)+1)),ROWS(E$20:E25))),"")</f>
        <v/>
      </c>
      <c r="F25" s="173" t="str">
        <f t="array" ref="F25">IF(ROWS(F$20:F25)&lt;=$D$22,INDEX('COLLECTE DE DONNÉES ET ANALYSE'!$C$5:$C$22,SMALL(IF(datastage=2,IF(datastatus=1,ROW(datastatus)-ROW('COLLECTE DE DONNÉES ET ANALYSE'!$E$5)+1)),ROWS(F$20:F25))),"")</f>
        <v/>
      </c>
      <c r="G25" s="175"/>
      <c r="H25" s="176" t="str">
        <f t="array" ref="H25">IF(ROWS(H$20:H25)&lt;=$G$21,INDEX('DIAGNOSTIC DE LABORATOIRE'!$C$5:$C$15,SMALL(IF(labstage=2,IF(labstatus=0,ROW(labstatus)-ROW('DIAGNOSTIC DE LABORATOIRE'!$E$5)+1)),ROWS(H$20:H25))),"")</f>
        <v/>
      </c>
      <c r="I25" s="177" t="str">
        <f t="array" ref="I25">IF(ROWS(I$20:I25)&lt;=$G$22,INDEX('DIAGNOSTIC DE LABORATOIRE'!$C$5:$C$15,SMALL(IF(labstage=2,IF(labstatus=1,ROW(labstatus)-ROW('DIAGNOSTIC DE LABORATOIRE'!$F$5)+1)),ROWS(I$20:I25))),"")</f>
        <v/>
      </c>
      <c r="J25" s="175"/>
      <c r="K25" s="178" t="str">
        <f t="array" ref="K25">IF(ROWS(K$20:K25)&lt;=$J$21,INDEX('INFORMATION, ÉDUCTION ET LA COM'!$C$5:$C$21,SMALL(IF(iecstage=2,IF(iecstatus=0,ROW(iecstatus)-ROW('INFORMATION, ÉDUCTION ET LA COM'!$E$5)+1)),ROWS(K$20:K25))),"")</f>
        <v/>
      </c>
      <c r="L25" s="173" t="str">
        <f t="array" ref="L25">IF(ROWS(L$20:L25)&lt;=$J$22,INDEX('INFORMATION, ÉDUCTION ET LA COM'!$C$5:$C$21,SMALL(IF(iecstage=2,IF(iecstatus=1,ROW(iecstatus)-ROW('INFORMATION, ÉDUCTION ET LA COM'!$E$5)+1)),ROWS(L$20:L25))),"")</f>
        <v/>
      </c>
      <c r="M25" s="179"/>
      <c r="N25" s="176" t="str">
        <f t="array" ref="N25">IF(ROWS(N$20:N25)&lt;=$M$21,INDEX('PRÉVENTION ET DE CONTRÔLE'!$C$5:$C$29,SMALL(IF(prevstage=2,IF(prevstatus=0,ROW(prevstatus)-ROW('PRÉVENTION ET DE CONTRÔLE'!$E$5)+1)),ROWS(N$20:N25))),"")</f>
        <v/>
      </c>
      <c r="O25" s="177" t="str">
        <f t="array" ref="O25">IF(ROWS(O$20:O25)&lt;=$M$22,INDEX('PRÉVENTION ET DE CONTRÔLE'!$C$5:$C$29,SMALL(IF(prevstage=2,IF(prevstatus=1,ROW(prevstatus)-ROW('PRÉVENTION ET DE CONTRÔLE'!$E$5)+1)),ROWS(O$20:O25))),"")</f>
        <v>Des SOPs (Modes opératoires standardisés) de l’IBCM (Integrated Bite Case Management; Gestion intégrée de cas de morsure) sont conclus, y compris le partage d’informations entre les secteurs</v>
      </c>
      <c r="P25" s="175"/>
      <c r="Q25" s="178" t="e">
        <f t="array" ref="Q25">IF(ROWS(Q$20:Q25)&lt;=$P$21,INDEX(#REF!,SMALL(IF(dogstage=2,IF(dogstatus=0,ROW(dogstatus)-ROW(#REF!)+1)),ROWS(Q$20:Q25))),"")</f>
        <v>#REF!</v>
      </c>
      <c r="R25" s="191" t="e">
        <f t="array" ref="R25">IF(ROWS(R$20:R25)&lt;=$P$22,INDEX(#REF!,SMALL(IF(dogstage=2,IF(dogstatus=1,ROW(dogstatus)-ROW(#REF!)+1)),ROWS(R$20:R25))),"")</f>
        <v>#REF!</v>
      </c>
      <c r="S25" s="175"/>
      <c r="T25" s="176" t="str">
        <f t="array" ref="T25">IF(ROWS(T$20:T25)&lt;=$S$21,INDEX('QUESTIONS TRANSVERSALES'!$C$5:$C$16,SMALL(IF(crossstage=2,IF(crossstatus=0,ROW(crossstatus)-ROW('QUESTIONS TRANSVERSALES'!$E$5)+1)),ROWS(T$20:T25))),"")</f>
        <v/>
      </c>
      <c r="U25" s="177" t="str">
        <f t="array" ref="U25">IF(ROWS(U$20:U25)&lt;=$S$22,INDEX('QUESTIONS TRANSVERSALES'!$C$5:$C$16,SMALL(IF(crossstage=2,IF(crossstatus=1,ROW(crossstatus)-ROW('QUESTIONS TRANSVERSALES'!$E$5)+1)),ROWS(U$20:U25))),"")</f>
        <v/>
      </c>
      <c r="Z25" s="90"/>
    </row>
    <row r="26" spans="1:26" s="15" customFormat="1" ht="51" x14ac:dyDescent="0.25">
      <c r="A26" s="47"/>
      <c r="B26" s="178" t="str">
        <f t="array" ref="B26">IF(ROWS(B$20:B26)&lt;=$A$21,INDEX(LÉGISLATION!$C$5:$C$19,SMALL(IF(STAGE=2,IF(STATUS=0,ROW(STATUS)-ROW(LÉGISLATION!$E$5)+1)),ROWS(B$20:B26))),"")</f>
        <v/>
      </c>
      <c r="C26" s="173" t="str">
        <f t="array" ref="C26">IF(ROWS(C$20:C26)&lt;=$A$22,INDEX(LÉGISLATION!$C$5:$C$19,SMALL(IF(STAGE=2,IF(STATUS=1,ROW(STATUS)-ROW(LÉGISLATION!$E$5)+1)),ROWS(C$20:C26))),"")</f>
        <v/>
      </c>
      <c r="D26" s="174"/>
      <c r="E26" s="178" t="str">
        <f t="array" ref="E26">IF(ROWS(E$20:E26)&lt;=$D$21,INDEX('COLLECTE DE DONNÉES ET ANALYSE'!$C$5:$C$22,SMALL(IF(datastage=2,IF(datastatus=0,ROW(datastatus)-ROW('COLLECTE DE DONNÉES ET ANALYSE'!$E$5)+1)),ROWS(E$20:E26))),"")</f>
        <v/>
      </c>
      <c r="F26" s="173" t="str">
        <f t="array" ref="F26">IF(ROWS(F$20:F26)&lt;=$D$22,INDEX('COLLECTE DE DONNÉES ET ANALYSE'!$C$5:$C$22,SMALL(IF(datastage=2,IF(datastatus=1,ROW(datastatus)-ROW('COLLECTE DE DONNÉES ET ANALYSE'!$E$5)+1)),ROWS(F$20:F26))),"")</f>
        <v/>
      </c>
      <c r="G26" s="175"/>
      <c r="H26" s="176" t="str">
        <f t="array" ref="H26">IF(ROWS(H$20:H26)&lt;=$G$21,INDEX('DIAGNOSTIC DE LABORATOIRE'!$C$5:$C$15,SMALL(IF(labstage=2,IF(labstatus=0,ROW(labstatus)-ROW('DIAGNOSTIC DE LABORATOIRE'!$E$5)+1)),ROWS(H$20:H26))),"")</f>
        <v/>
      </c>
      <c r="I26" s="177" t="str">
        <f t="array" ref="I26">IF(ROWS(I$20:I26)&lt;=$G$22,INDEX('DIAGNOSTIC DE LABORATOIRE'!$C$5:$C$15,SMALL(IF(labstage=2,IF(labstatus=1,ROW(labstatus)-ROW('DIAGNOSTIC DE LABORATOIRE'!$F$5)+1)),ROWS(I$20:I26))),"")</f>
        <v/>
      </c>
      <c r="J26" s="175"/>
      <c r="K26" s="178" t="str">
        <f t="array" ref="K26">IF(ROWS(K$20:K26)&lt;=$J$21,INDEX('INFORMATION, ÉDUCTION ET LA COM'!$C$5:$C$21,SMALL(IF(iecstage=2,IF(iecstatus=0,ROW(iecstatus)-ROW('INFORMATION, ÉDUCTION ET LA COM'!$E$5)+1)),ROWS(K$20:K26))),"")</f>
        <v/>
      </c>
      <c r="L26" s="173" t="str">
        <f t="array" ref="L26">IF(ROWS(L$20:L26)&lt;=$J$22,INDEX('INFORMATION, ÉDUCTION ET LA COM'!$C$5:$C$21,SMALL(IF(iecstage=2,IF(iecstatus=1,ROW(iecstatus)-ROW('INFORMATION, ÉDUCTION ET LA COM'!$E$5)+1)),ROWS(L$20:L26))),"")</f>
        <v/>
      </c>
      <c r="M26" s="179"/>
      <c r="N26" s="176" t="str">
        <f t="array" ref="N26">IF(ROWS(N$20:N26)&lt;=$M$21,INDEX('PRÉVENTION ET DE CONTRÔLE'!$C$5:$C$29,SMALL(IF(prevstage=2,IF(prevstatus=0,ROW(prevstatus)-ROW('PRÉVENTION ET DE CONTRÔLE'!$E$5)+1)),ROWS(N$20:N26))),"")</f>
        <v/>
      </c>
      <c r="O26" s="177" t="str">
        <f t="array" ref="O26">IF(ROWS(O$20:O26)&lt;=$M$22,INDEX('PRÉVENTION ET DE CONTRÔLE'!$C$5:$C$29,SMALL(IF(prevstage=2,IF(prevstatus=1,ROW(prevstatus)-ROW('PRÉVENTION ET DE CONTRÔLE'!$E$5)+1)),ROWS(O$20:O26))),"")</f>
        <v>Des SOPs (Modes opératoires standardisés) pour l'observation des chiens responsables d’incidents des morsures sont disponibles</v>
      </c>
      <c r="P26" s="175"/>
      <c r="Q26" s="178" t="e">
        <f t="array" ref="Q26">IF(ROWS(Q$20:Q26)&lt;=$P$21,INDEX(#REF!,SMALL(IF(dogstage=2,IF(dogstatus=0,ROW(dogstatus)-ROW(#REF!)+1)),ROWS(Q$20:Q26))),"")</f>
        <v>#REF!</v>
      </c>
      <c r="R26" s="191" t="e">
        <f t="array" ref="R26">IF(ROWS(R$20:R26)&lt;=$P$22,INDEX(#REF!,SMALL(IF(dogstage=2,IF(dogstatus=1,ROW(dogstatus)-ROW(#REF!)+1)),ROWS(R$20:R26))),"")</f>
        <v>#REF!</v>
      </c>
      <c r="S26" s="175"/>
      <c r="T26" s="176" t="str">
        <f t="array" ref="T26">IF(ROWS(T$20:T26)&lt;=$S$21,INDEX('QUESTIONS TRANSVERSALES'!$C$5:$C$16,SMALL(IF(crossstage=2,IF(crossstatus=0,ROW(crossstatus)-ROW('QUESTIONS TRANSVERSALES'!$E$5)+1)),ROWS(T$20:T26))),"")</f>
        <v/>
      </c>
      <c r="U26" s="177" t="str">
        <f t="array" ref="U26">IF(ROWS(U$20:U26)&lt;=$S$22,INDEX('QUESTIONS TRANSVERSALES'!$C$5:$C$16,SMALL(IF(crossstage=2,IF(crossstatus=1,ROW(crossstatus)-ROW('QUESTIONS TRANSVERSALES'!$E$5)+1)),ROWS(U$20:U26))),"")</f>
        <v/>
      </c>
      <c r="Z26" s="90"/>
    </row>
    <row r="27" spans="1:26" s="15" customFormat="1" x14ac:dyDescent="0.25">
      <c r="A27" s="47"/>
      <c r="B27" s="178" t="str">
        <f t="array" ref="B27">IF(ROWS(B$20:B27)&lt;=$A$21,INDEX(LÉGISLATION!$C$5:$C$19,SMALL(IF(STAGE=2,IF(STATUS=0,ROW(STATUS)-ROW(LÉGISLATION!$E$5)+1)),ROWS(B$20:B27))),"")</f>
        <v/>
      </c>
      <c r="C27" s="173" t="str">
        <f t="array" ref="C27">IF(ROWS(C$20:C27)&lt;=$A$22,INDEX(LÉGISLATION!$C$5:$C$19,SMALL(IF(STAGE=2,IF(STATUS=1,ROW(STATUS)-ROW(LÉGISLATION!$E$5)+1)),ROWS(C$20:C27))),"")</f>
        <v/>
      </c>
      <c r="D27" s="174"/>
      <c r="E27" s="178" t="str">
        <f t="array" ref="E27">IF(ROWS(E$20:E27)&lt;=$D$21,INDEX('COLLECTE DE DONNÉES ET ANALYSE'!$C$5:$C$22,SMALL(IF(datastage=2,IF(datastatus=0,ROW(datastatus)-ROW('COLLECTE DE DONNÉES ET ANALYSE'!$E$5)+1)),ROWS(E$20:E27))),"")</f>
        <v/>
      </c>
      <c r="F27" s="173" t="str">
        <f t="array" ref="F27">IF(ROWS(F$20:F27)&lt;=$D$22,INDEX('COLLECTE DE DONNÉES ET ANALYSE'!$C$5:$C$22,SMALL(IF(datastage=2,IF(datastatus=1,ROW(datastatus)-ROW('COLLECTE DE DONNÉES ET ANALYSE'!$E$5)+1)),ROWS(F$20:F27))),"")</f>
        <v/>
      </c>
      <c r="G27" s="175"/>
      <c r="H27" s="176" t="str">
        <f t="array" ref="H27">IF(ROWS(H$20:H27)&lt;=$G$21,INDEX('DIAGNOSTIC DE LABORATOIRE'!$C$5:$C$15,SMALL(IF(labstage=2,IF(labstatus=0,ROW(labstatus)-ROW('DIAGNOSTIC DE LABORATOIRE'!$E$5)+1)),ROWS(H$20:H27))),"")</f>
        <v/>
      </c>
      <c r="I27" s="177" t="str">
        <f t="array" ref="I27">IF(ROWS(I$20:I27)&lt;=$G$22,INDEX('DIAGNOSTIC DE LABORATOIRE'!$C$5:$C$15,SMALL(IF(labstage=2,IF(labstatus=1,ROW(labstatus)-ROW('DIAGNOSTIC DE LABORATOIRE'!$F$5)+1)),ROWS(I$20:I27))),"")</f>
        <v/>
      </c>
      <c r="J27" s="175"/>
      <c r="K27" s="178" t="str">
        <f t="array" ref="K27">IF(ROWS(K$20:K27)&lt;=$J$21,INDEX('INFORMATION, ÉDUCTION ET LA COM'!$C$5:$C$21,SMALL(IF(iecstage=2,IF(iecstatus=0,ROW(iecstatus)-ROW('INFORMATION, ÉDUCTION ET LA COM'!$E$5)+1)),ROWS(K$20:K27))),"")</f>
        <v/>
      </c>
      <c r="L27" s="173" t="str">
        <f t="array" ref="L27">IF(ROWS(L$20:L27)&lt;=$J$22,INDEX('INFORMATION, ÉDUCTION ET LA COM'!$C$5:$C$21,SMALL(IF(iecstage=2,IF(iecstatus=1,ROW(iecstatus)-ROW('INFORMATION, ÉDUCTION ET LA COM'!$E$5)+1)),ROWS(L$20:L27))),"")</f>
        <v/>
      </c>
      <c r="M27" s="179"/>
      <c r="N27" s="176" t="str">
        <f t="array" ref="N27">IF(ROWS(N$20:N27)&lt;=$M$21,INDEX('PRÉVENTION ET DE CONTRÔLE'!$C$5:$C$29,SMALL(IF(prevstage=2,IF(prevstatus=0,ROW(prevstatus)-ROW('PRÉVENTION ET DE CONTRÔLE'!$E$5)+1)),ROWS(N$20:N27))),"")</f>
        <v/>
      </c>
      <c r="O27" s="177" t="str">
        <f t="array" ref="O27">IF(ROWS(O$20:O27)&lt;=$M$22,INDEX('PRÉVENTION ET DE CONTRÔLE'!$C$5:$C$29,SMALL(IF(prevstage=2,IF(prevstatus=1,ROW(prevstatus)-ROW('PRÉVENTION ET DE CONTRÔLE'!$E$5)+1)),ROWS(O$20:O27))),"")</f>
        <v/>
      </c>
      <c r="P27" s="175"/>
      <c r="Q27" s="178" t="e">
        <f t="array" ref="Q27">IF(ROWS(Q$20:Q27)&lt;=$P$21,INDEX(#REF!,SMALL(IF(dogstage=2,IF(dogstatus=0,ROW(dogstatus)-ROW(#REF!)+1)),ROWS(Q$20:Q27))),"")</f>
        <v>#REF!</v>
      </c>
      <c r="R27" s="191" t="e">
        <f t="array" ref="R27">IF(ROWS(R$20:R27)&lt;=$P$22,INDEX(#REF!,SMALL(IF(dogstage=2,IF(dogstatus=1,ROW(dogstatus)-ROW(#REF!)+1)),ROWS(R$20:R27))),"")</f>
        <v>#REF!</v>
      </c>
      <c r="S27" s="175"/>
      <c r="T27" s="176" t="str">
        <f t="array" ref="T27">IF(ROWS(T$20:T27)&lt;=$S$21,INDEX('QUESTIONS TRANSVERSALES'!$C$5:$C$16,SMALL(IF(crossstage=2,IF(crossstatus=0,ROW(crossstatus)-ROW('QUESTIONS TRANSVERSALES'!$E$5)+1)),ROWS(T$20:T27))),"")</f>
        <v/>
      </c>
      <c r="U27" s="177" t="str">
        <f t="array" ref="U27">IF(ROWS(U$20:U27)&lt;=$S$22,INDEX('QUESTIONS TRANSVERSALES'!$C$5:$C$16,SMALL(IF(crossstage=2,IF(crossstatus=1,ROW(crossstatus)-ROW('QUESTIONS TRANSVERSALES'!$E$5)+1)),ROWS(U$20:U27))),"")</f>
        <v/>
      </c>
      <c r="Z27" s="91"/>
    </row>
    <row r="28" spans="1:26" s="15" customFormat="1" x14ac:dyDescent="0.25">
      <c r="A28" s="48"/>
      <c r="B28" s="180" t="str">
        <f t="array" ref="B28">IF(ROWS(B$20:B28)&lt;=$A$21,INDEX(LÉGISLATION!$C$5:$C$19,SMALL(IF(STAGE=2,IF(STATUS=0,ROW(STATUS)-ROW(LÉGISLATION!$E$5)+1)),ROWS(B$20:B28))),"")</f>
        <v/>
      </c>
      <c r="C28" s="181" t="str">
        <f t="array" ref="C28">IF(ROWS(C$20:C28)&lt;=$A$22,INDEX(LÉGISLATION!$C$5:$C$19,SMALL(IF(STAGE=2,IF(STATUS=1,ROW(STATUS)-ROW(LÉGISLATION!$E$5)+1)),ROWS(C$20:C28))),"")</f>
        <v/>
      </c>
      <c r="D28" s="182"/>
      <c r="E28" s="180" t="str">
        <f t="array" ref="E28">IF(ROWS(E$20:E28)&lt;=$D$21,INDEX('COLLECTE DE DONNÉES ET ANALYSE'!$C$5:$C$22,SMALL(IF(datastage=2,IF(datastatus=0,ROW(datastatus)-ROW('COLLECTE DE DONNÉES ET ANALYSE'!$E$5)+1)),ROWS(E$20:E28))),"")</f>
        <v/>
      </c>
      <c r="F28" s="181" t="str">
        <f t="array" ref="F28">IF(ROWS(F$20:F28)&lt;=$D$22,INDEX('COLLECTE DE DONNÉES ET ANALYSE'!$C$5:$C$22,SMALL(IF(datastage=2,IF(datastatus=1,ROW(datastatus)-ROW('COLLECTE DE DONNÉES ET ANALYSE'!$E$5)+1)),ROWS(F$20:F28))),"")</f>
        <v/>
      </c>
      <c r="G28" s="183"/>
      <c r="H28" s="184" t="str">
        <f t="array" ref="H28">IF(ROWS(H$20:H28)&lt;=$G$21,INDEX('DIAGNOSTIC DE LABORATOIRE'!$C$5:$C$15,SMALL(IF(labstage=2,IF(labstatus=0,ROW(labstatus)-ROW('DIAGNOSTIC DE LABORATOIRE'!$E$5)+1)),ROWS(H$20:H28))),"")</f>
        <v/>
      </c>
      <c r="I28" s="185" t="str">
        <f t="array" ref="I28">IF(ROWS(I$20:I28)&lt;=$G$22,INDEX('DIAGNOSTIC DE LABORATOIRE'!$C$5:$C$15,SMALL(IF(labstage=2,IF(labstatus=1,ROW(labstatus)-ROW('DIAGNOSTIC DE LABORATOIRE'!$F$5)+1)),ROWS(I$20:I28))),"")</f>
        <v/>
      </c>
      <c r="J28" s="183"/>
      <c r="K28" s="180" t="str">
        <f t="array" ref="K28">IF(ROWS(K$20:K28)&lt;=$J$21,INDEX('INFORMATION, ÉDUCTION ET LA COM'!$C$5:$C$21,SMALL(IF(iecstage=2,IF(iecstatus=0,ROW(iecstatus)-ROW('INFORMATION, ÉDUCTION ET LA COM'!$E$5)+1)),ROWS(K$20:K28))),"")</f>
        <v/>
      </c>
      <c r="L28" s="181" t="str">
        <f t="array" ref="L28">IF(ROWS(L$20:L28)&lt;=$J$22,INDEX('INFORMATION, ÉDUCTION ET LA COM'!$C$5:$C$21,SMALL(IF(iecstage=2,IF(iecstatus=1,ROW(iecstatus)-ROW('INFORMATION, ÉDUCTION ET LA COM'!$E$5)+1)),ROWS(L$20:L28))),"")</f>
        <v/>
      </c>
      <c r="M28" s="186"/>
      <c r="N28" s="184" t="str">
        <f t="array" ref="N28">IF(ROWS(N$20:N28)&lt;=$M$21,INDEX('PRÉVENTION ET DE CONTRÔLE'!$C$5:$C$29,SMALL(IF(prevstage=2,IF(prevstatus=0,ROW(prevstatus)-ROW('PRÉVENTION ET DE CONTRÔLE'!$E$5)+1)),ROWS(N$20:N28))),"")</f>
        <v/>
      </c>
      <c r="O28" s="185" t="str">
        <f t="array" ref="O28">IF(ROWS(O$20:O28)&lt;=$M$22,INDEX('PRÉVENTION ET DE CONTRÔLE'!$C$5:$C$29,SMALL(IF(prevstage=2,IF(prevstatus=1,ROW(prevstatus)-ROW('PRÉVENTION ET DE CONTRÔLE'!$E$5)+1)),ROWS(O$20:O28))),"")</f>
        <v/>
      </c>
      <c r="P28" s="183"/>
      <c r="Q28" s="180" t="e">
        <f t="array" ref="Q28">IF(ROWS(Q$20:Q28)&lt;=$P$21,INDEX(#REF!,SMALL(IF(dogstage=2,IF(dogstatus=0,ROW(dogstatus)-ROW(#REF!)+1)),ROWS(Q$20:Q28))),"")</f>
        <v>#REF!</v>
      </c>
      <c r="R28" s="192" t="e">
        <f t="array" ref="R28">IF(ROWS(R$20:R28)&lt;=$P$22,INDEX(#REF!,SMALL(IF(dogstage=2,IF(dogstatus=1,ROW(dogstatus)-ROW(#REF!)+1)),ROWS(R$20:R28))),"")</f>
        <v>#REF!</v>
      </c>
      <c r="S28" s="183"/>
      <c r="T28" s="184" t="str">
        <f t="array" ref="T28">IF(ROWS(T$20:T28)&lt;=$S$21,INDEX('QUESTIONS TRANSVERSALES'!$C$5:$C$16,SMALL(IF(crossstage=2,IF(crossstatus=0,ROW(crossstatus)-ROW('QUESTIONS TRANSVERSALES'!$E$5)+1)),ROWS(T$20:T28))),"")</f>
        <v/>
      </c>
      <c r="U28" s="185" t="str">
        <f t="array" ref="U28">IF(ROWS(U$20:U28)&lt;=$S$22,INDEX('QUESTIONS TRANSVERSALES'!$C$5:$C$16,SMALL(IF(crossstage=2,IF(crossstatus=1,ROW(crossstatus)-ROW('QUESTIONS TRANSVERSALES'!$E$5)+1)),ROWS(U$20:U28))),"")</f>
        <v/>
      </c>
      <c r="Z28" s="90"/>
    </row>
    <row r="29" spans="1:26" s="15" customFormat="1" ht="76.5" x14ac:dyDescent="0.25">
      <c r="A29" s="53">
        <v>3</v>
      </c>
      <c r="B29" s="165" t="str">
        <f t="array" ref="B29">IF(ROWS(B$29:B29)&lt;=$A$30,INDEX(LÉGISLATION!$C$5:$C$19,SMALL(IF(STAGE=3,IF(STATUS=0,ROW(STATUS)-ROW(LÉGISLATION!$E$5)+1)),ROWS(B$29:B29))),"")</f>
        <v/>
      </c>
      <c r="C29" s="166" t="str">
        <f t="array" ref="C29">IF(ROWS(C$29:C29)&lt;=$A$31,INDEX(LÉGISLATION!$C$5:$C$19,SMALL(IF(STAGE=3,IF(STATUS=1,ROW(STATUS)-ROW(LÉGISLATION!$E$5)+1)),ROWS(C$29:C29))),"")</f>
        <v/>
      </c>
      <c r="D29" s="167"/>
      <c r="E29" s="165" t="str">
        <f t="array" ref="E29">IF(ROWS(E$29:E29)&lt;=$D$30,INDEX('COLLECTE DE DONNÉES ET ANALYSE'!$C$5:$C$22,SMALL(IF(datastage=3,IF(datastatus=0,ROW(datastatus)-ROW('COLLECTE DE DONNÉES ET ANALYSE'!$E$5)+1)),ROWS(E$29:E29))),"")</f>
        <v>Expand health economic studies to support further prioritization within the national rabies control programme</v>
      </c>
      <c r="F29" s="166" t="str">
        <f t="array" ref="F29">IF(ROWS(F$29:F29)&lt;=$D$31,INDEX('COLLECTE DE DONNÉES ET ANALYSE'!$C$5:$C$22,SMALL(IF(datastage=3,IF(datastatus=1,ROW(datastatus)-ROW('COLLECTE DE DONNÉES ET ANALYSE'!$E$5)+1)),ROWS(F$29:F29))),"")</f>
        <v>Des enquêtes sur tous les cas suspects de rage humaine sont effectuées sur le terrain</v>
      </c>
      <c r="G29" s="168"/>
      <c r="H29" s="169" t="str">
        <f t="array" ref="H29">IF(ROWS(H$29:H29)&lt;=$G$30,INDEX('DIAGNOSTIC DE LABORATOIRE'!$C$5:$C$15,SMALL(IF(labstage=3,IF(labstatus=0,ROW(labstatus)-ROW('DIAGNOSTIC DE LABORATOIRE'!$E$5)+1)),ROWS(H$29:H29))),"")</f>
        <v>L'accès au diagnostic de laboratoire pour les échantillons d'animaux (et si possible aussi pour les échantillons humains) est possible dans tout le pays</v>
      </c>
      <c r="I29" s="170" t="str">
        <f t="array" ref="I29">IF(ROWS(I$29:I29)&lt;=$G$31,INDEX('DIAGNOSTIC DE LABORATOIRE'!$C$5:$C$15,SMALL(IF(labstage=3,IF(labstatus=1,ROW(labstatus)-ROW('DIAGNOSTIC DE LABORATOIRE'!$F$5)+1)),ROWS(I$29:I29))),"")</f>
        <v/>
      </c>
      <c r="J29" s="168"/>
      <c r="K29" s="165" t="str">
        <f t="array" ref="K29">IF(ROWS(K$29:K29)&lt;=$J$30,INDEX('INFORMATION, ÉDUCTION ET LA COM'!$C$5:$C$21,SMALL(IF(iecstage=3,IF(iecstatus=0,ROW(iecstatus)-ROW('INFORMATION, ÉDUCTION ET LA COM'!$E$5)+1)),ROWS(K$29:K29))),"")</f>
        <v>Le plan de communication sur l’élimination de la rage est mise en œuvre</v>
      </c>
      <c r="L29" s="166" t="str">
        <f t="array" ref="L29">IF(ROWS(L$29:L29)&lt;=$J$31,INDEX('INFORMATION, ÉDUCTION ET LA COM'!$C$5:$C$21,SMALL(IF(iecstage=3,IF(iecstatus=1,ROW(iecstatus)-ROW('INFORMATION, ÉDUCTION ET LA COM'!$E$5)+1)),ROWS(L$29:L29))),"")</f>
        <v>Promouvoir une attitude responsable des propriétaires de chiens, accompagné par des campagnes de sensibilisation de la rage</v>
      </c>
      <c r="M29" s="171"/>
      <c r="N29" s="169" t="str">
        <f t="array" ref="N29">IF(ROWS(N$29:N29)&lt;=$M$30,INDEX('PRÉVENTION ET DE CONTRÔLE'!$C$5:$C$29,SMALL(IF(prevstage=3,IF(prevstatus=0,ROW(prevstatus)-ROW('PRÉVENTION ET DE CONTRÔLE'!$E$5)+1)),ROWS(N$29:N29))),"")</f>
        <v>Des campagnes de vaccination de masse des chiens (au moins 70% de la population canine) sont menées conformément à la stratégie nationale de lutte contre la rage</v>
      </c>
      <c r="O29" s="170" t="str">
        <f t="array" ref="O29">IF(ROWS(O$29:O29)&lt;=$M$31,INDEX('PRÉVENTION ET DE CONTRÔLE'!$C$5:$C$29,SMALL(IF(prevstage=3,IF(prevstatus=1,ROW(prevstatus)-ROW('PRÉVENTION ET DE CONTRÔLE'!$E$5)+1)),ROWS(O$29:O29))),"")</f>
        <v>La disposition et l’accès aux PrEP (Prophylaxie Pré-Exposition) et PPE (Prophylaxie Post-Exposition) pré-qualifiées par l’OMS sont assurés dans tout le pays pour les personnes à risque élevé et exposées</v>
      </c>
      <c r="P29" s="168"/>
      <c r="Q29" s="165" t="e">
        <f t="array" ref="Q29">IF(ROWS(Q$29:Q29)&lt;=$P$30,INDEX(#REF!,SMALL(IF(dogstage=3,IF(dogstatus=0,ROW(dogstatus)-ROW(#REF!)+1)),ROWS(Q$29:Q29))),"")</f>
        <v>#REF!</v>
      </c>
      <c r="R29" s="166" t="e">
        <f t="array" ref="R29">IF(ROWS(R$29:R29)&lt;=$P$31,INDEX(#REF!,SMALL(IF(dogstage=3,IF(dogstatus=1,ROW(dogstatus)-ROW(#REF!)+1)),ROWS(R$29:R29))),"")</f>
        <v>#REF!</v>
      </c>
      <c r="S29" s="168"/>
      <c r="T29" s="169" t="str">
        <f t="array" ref="T29">IF(ROWS(T$29:T29)&lt;=$S$30,INDEX('QUESTIONS TRANSVERSALES'!$C$5:$C$16,SMALL(IF(crossstage=3,IF(crossstatus=0,ROW(crossstatus)-ROW('QUESTIONS TRANSVERSALES'!$E$5)+1)),ROWS(T$29:T29))),"")</f>
        <v>Améliorer la stratégie nationale basée sur la surveillance et l'évaluation</v>
      </c>
      <c r="U29" s="170" t="str">
        <f t="array" ref="U29">IF(ROWS(U$29:U29)&lt;=$S$31,INDEX('QUESTIONS TRANSVERSALES'!$C$5:$C$16,SMALL(IF(crossstage=3,IF(crossstatus=1,ROW(crossstatus)-ROW('QUESTIONS TRANSVERSALES'!$E$5)+1)),ROWS(U$29:U29))),"")</f>
        <v/>
      </c>
      <c r="Z29" s="94"/>
    </row>
    <row r="30" spans="1:26" s="15" customFormat="1" ht="63.75" x14ac:dyDescent="0.25">
      <c r="A30" s="46">
        <f>SUMPRODUCT((STAGE=3)*(STATUS=0))</f>
        <v>0</v>
      </c>
      <c r="B30" s="178" t="str">
        <f t="array" ref="B30">IF(ROWS(B$29:B30)&lt;=$A$30,INDEX(LÉGISLATION!$C$5:$C$19,SMALL(IF(STAGE=3,IF(STATUS=0,ROW(STATUS)-ROW(LÉGISLATION!$E$5)+1)),ROWS(B$29:B30))),"")</f>
        <v/>
      </c>
      <c r="C30" s="173" t="str">
        <f t="array" ref="C30">IF(ROWS(C$29:C30)&lt;=$A$31,INDEX(LÉGISLATION!$C$5:$C$19,SMALL(IF(STAGE=3,IF(STATUS=1,ROW(STATUS)-ROW(LÉGISLATION!$E$5)+1)),ROWS(C$29:C30))),"")</f>
        <v/>
      </c>
      <c r="D30" s="174">
        <f>SUMPRODUCT(((datastage=3)*(datastatus=0)))</f>
        <v>1</v>
      </c>
      <c r="E30" s="178" t="str">
        <f t="array" ref="E30">IF(ROWS(E$29:E30)&lt;=$D$30,INDEX('COLLECTE DE DONNÉES ET ANALYSE'!$C$5:$C$22,SMALL(IF(datastage=3,IF(datastatus=0,ROW(datastatus)-ROW('COLLECTE DE DONNÉES ET ANALYSE'!$E$5)+1)),ROWS(E$29:E30))),"")</f>
        <v/>
      </c>
      <c r="F30" s="173" t="str">
        <f t="array" ref="F30">IF(ROWS(F$29:F30)&lt;=$D$31,INDEX('COLLECTE DE DONNÉES ET ANALYSE'!$C$5:$C$22,SMALL(IF(datastage=3,IF(datastatus=1,ROW(datastatus)-ROW('COLLECTE DE DONNÉES ET ANALYSE'!$E$5)+1)),ROWS(F$29:F30))),"")</f>
        <v>Des preuves épidémiologiques sont disponibles pour l’exclusion des cas de rage humain causés par les chiens</v>
      </c>
      <c r="G30" s="175">
        <f>SUMPRODUCT((labstage=3)*(labstatus=0))</f>
        <v>2</v>
      </c>
      <c r="H30" s="176" t="str">
        <f t="array" ref="H30">IF(ROWS(H$29:H30)&lt;=$G$30,INDEX('DIAGNOSTIC DE LABORATOIRE'!$C$5:$C$15,SMALL(IF(labstage=3,IF(labstatus=0,ROW(labstatus)-ROW('DIAGNOSTIC DE LABORATOIRE'!$E$5)+1)),ROWS(H$29:H30))),"")</f>
        <v>La caractérisation et l'analyse des variantes et de la circulation du virus rabique sont effectuées régulièrement par un laboratoire national ou international</v>
      </c>
      <c r="I30" s="177" t="str">
        <f t="array" ref="I30">IF(ROWS(I$29:I30)&lt;=$G$31,INDEX('DIAGNOSTIC DE LABORATOIRE'!$C$5:$C$15,SMALL(IF(labstage=3,IF(labstatus=1,ROW(labstatus)-ROW('DIAGNOSTIC DE LABORATOIRE'!$F$5)+1)),ROWS(I$29:I30))),"")</f>
        <v/>
      </c>
      <c r="J30" s="175">
        <f>SUMPRODUCT((iecstage=3)*(iecstatus=0))</f>
        <v>2</v>
      </c>
      <c r="K30" s="178" t="str">
        <f t="array" ref="K30">IF(ROWS(K$29:K30)&lt;=$J$30,INDEX('INFORMATION, ÉDUCTION ET LA COM'!$C$5:$C$21,SMALL(IF(iecstage=3,IF(iecstatus=0,ROW(iecstatus)-ROW('INFORMATION, ÉDUCTION ET LA COM'!$E$5)+1)),ROWS(K$29:K30))),"")</f>
        <v>Déclaration et publication des zones exemptes de rage canine</v>
      </c>
      <c r="L30" s="173" t="str">
        <f t="array" ref="L30">IF(ROWS(L$29:L30)&lt;=$J$31,INDEX('INFORMATION, ÉDUCTION ET LA COM'!$C$5:$C$21,SMALL(IF(iecstage=3,IF(iecstatus=1,ROW(iecstatus)-ROW('INFORMATION, ÉDUCTION ET LA COM'!$E$5)+1)),ROWS(L$29:L30))),"")</f>
        <v>Renforcement des campagnes de sensibilisation publiques des leaders et autorités pour appuyer la vaccination des chiens</v>
      </c>
      <c r="M30" s="179">
        <f>SUMPRODUCT((prevstage=3)*(prevstatus=0))</f>
        <v>5</v>
      </c>
      <c r="N30" s="176" t="str">
        <f t="array" ref="N30">IF(ROWS(N$29:N30)&lt;=$M$30,INDEX('PRÉVENTION ET DE CONTRÔLE'!$C$5:$C$29,SMALL(IF(prevstage=3,IF(prevstatus=0,ROW(prevstatus)-ROW('PRÉVENTION ET DE CONTRÔLE'!$E$5)+1)),ROWS(N$29:N30))),"")</f>
        <v>Des enquêtes post-vaccinales sont effectuées pour évaluer la couverture vaccinale des chiens</v>
      </c>
      <c r="O30" s="177" t="str">
        <f t="array" ref="O30">IF(ROWS(O$29:O30)&lt;=$M$31,INDEX('PRÉVENTION ET DE CONTRÔLE'!$C$5:$C$29,SMALL(IF(prevstage=3,IF(prevstatus=1,ROW(prevstatus)-ROW('PRÉVENTION ET DE CONTRÔLE'!$E$5)+1)),ROWS(O$29:O30))),"")</f>
        <v/>
      </c>
      <c r="P30" s="175" t="e">
        <f>SUMPRODUCT((dogstage=3)*(dogstatus=0))</f>
        <v>#REF!</v>
      </c>
      <c r="Q30" s="178" t="e">
        <f t="array" ref="Q30">IF(ROWS(Q$29:Q30)&lt;=$P$30,INDEX(#REF!,SMALL(IF(dogstage=3,IF(dogstatus=0,ROW(dogstatus)-ROW(#REF!)+1)),ROWS(Q$29:Q30))),"")</f>
        <v>#REF!</v>
      </c>
      <c r="R30" s="173" t="e">
        <f t="array" ref="R30">IF(ROWS(R$29:R30)&lt;=$P$31,INDEX(#REF!,SMALL(IF(dogstage=3,IF(dogstatus=1,ROW(dogstatus)-ROW(#REF!)+1)),ROWS(R$29:R30))),"")</f>
        <v>#REF!</v>
      </c>
      <c r="S30" s="175">
        <f>SUMPRODUCT((crossstage=3)*(crossstatus=0))</f>
        <v>1</v>
      </c>
      <c r="T30" s="176" t="str">
        <f t="array" ref="T30">IF(ROWS(T$29:T30)&lt;=$S$30,INDEX('QUESTIONS TRANSVERSALES'!$C$5:$C$16,SMALL(IF(crossstage=3,IF(crossstatus=0,ROW(crossstatus)-ROW('QUESTIONS TRANSVERSALES'!$E$5)+1)),ROWS(T$29:T30))),"")</f>
        <v/>
      </c>
      <c r="U30" s="177" t="str">
        <f t="array" ref="U30">IF(ROWS(U$29:U30)&lt;=$S$31,INDEX('QUESTIONS TRANSVERSALES'!$C$5:$C$16,SMALL(IF(crossstage=3,IF(crossstatus=1,ROW(crossstatus)-ROW('QUESTIONS TRANSVERSALES'!$E$5)+1)),ROWS(U$29:U30))),"")</f>
        <v/>
      </c>
      <c r="Z30" s="90"/>
    </row>
    <row r="31" spans="1:26" s="15" customFormat="1" ht="63.75" x14ac:dyDescent="0.25">
      <c r="A31" s="46">
        <f>SUMPRODUCT((STAGE=3)*(STATUS=1))</f>
        <v>0</v>
      </c>
      <c r="B31" s="178" t="str">
        <f t="array" ref="B31">IF(ROWS(B$29:B31)&lt;=$A$30,INDEX(LÉGISLATION!$C$5:$C$19,SMALL(IF(STAGE=3,IF(STATUS=0,ROW(STATUS)-ROW(LÉGISLATION!$E$5)+1)),ROWS(B$29:B31))),"")</f>
        <v/>
      </c>
      <c r="C31" s="173" t="str">
        <f t="array" ref="C31">IF(ROWS(C$29:C31)&lt;=$A$31,INDEX(LÉGISLATION!$C$5:$C$19,SMALL(IF(STAGE=3,IF(STATUS=1,ROW(STATUS)-ROW(LÉGISLATION!$E$5)+1)),ROWS(C$29:C31))),"")</f>
        <v/>
      </c>
      <c r="D31" s="174">
        <f>SUMPRODUCT((datastage=3)*(datastatus=1))</f>
        <v>4</v>
      </c>
      <c r="E31" s="178" t="str">
        <f t="array" ref="E31">IF(ROWS(E$29:E31)&lt;=$D$30,INDEX('COLLECTE DE DONNÉES ET ANALYSE'!$C$5:$C$22,SMALL(IF(datastage=3,IF(datastatus=0,ROW(datastatus)-ROW('COLLECTE DE DONNÉES ET ANALYSE'!$E$5)+1)),ROWS(E$29:E31))),"")</f>
        <v/>
      </c>
      <c r="F31" s="173" t="str">
        <f t="array" ref="F31">IF(ROWS(F$29:F31)&lt;=$D$31,INDEX('COLLECTE DE DONNÉES ET ANALYSE'!$C$5:$C$22,SMALL(IF(datastage=3,IF(datastatus=1,ROW(datastatus)-ROW('COLLECTE DE DONNÉES ET ANALYSE'!$E$5)+1)),ROWS(F$29:F31))),"")</f>
        <v>Des analyses et  confirmations en laboratoire concernant les épidémies de rage suspectes dans la population canine sont effectuées sur le terrain</v>
      </c>
      <c r="G31" s="175">
        <f>SUMPRODUCT((labstage=3)*(labstatus=1))</f>
        <v>0</v>
      </c>
      <c r="H31" s="176" t="str">
        <f t="array" ref="H31">IF(ROWS(H$29:H31)&lt;=$G$30,INDEX('DIAGNOSTIC DE LABORATOIRE'!$C$5:$C$15,SMALL(IF(labstage=3,IF(labstatus=0,ROW(labstatus)-ROW('DIAGNOSTIC DE LABORATOIRE'!$E$5)+1)),ROWS(H$29:H31))),"")</f>
        <v/>
      </c>
      <c r="I31" s="177" t="str">
        <f t="array" ref="I31">IF(ROWS(I$29:I31)&lt;=$G$31,INDEX('DIAGNOSTIC DE LABORATOIRE'!$C$5:$C$15,SMALL(IF(labstage=3,IF(labstatus=1,ROW(labstatus)-ROW('DIAGNOSTIC DE LABORATOIRE'!$F$5)+1)),ROWS(I$29:I31))),"")</f>
        <v/>
      </c>
      <c r="J31" s="175">
        <f>SUMPRODUCT((iecstage=3)*(iecstatus=1))</f>
        <v>2</v>
      </c>
      <c r="K31" s="178" t="str">
        <f t="array" ref="K31">IF(ROWS(K$29:K31)&lt;=$J$30,INDEX('INFORMATION, ÉDUCTION ET LA COM'!$C$5:$C$21,SMALL(IF(iecstage=3,IF(iecstatus=0,ROW(iecstatus)-ROW('INFORMATION, ÉDUCTION ET LA COM'!$E$5)+1)),ROWS(K$29:K31))),"")</f>
        <v/>
      </c>
      <c r="L31" s="173" t="str">
        <f t="array" ref="L31">IF(ROWS(L$29:L31)&lt;=$J$31,INDEX('INFORMATION, ÉDUCTION ET LA COM'!$C$5:$C$21,SMALL(IF(iecstage=3,IF(iecstatus=1,ROW(iecstatus)-ROW('INFORMATION, ÉDUCTION ET LA COM'!$E$5)+1)),ROWS(L$29:L31))),"")</f>
        <v/>
      </c>
      <c r="M31" s="179">
        <f>SUMPRODUCT((prevstage=3)*(prevstatus=1))</f>
        <v>1</v>
      </c>
      <c r="N31" s="176" t="str">
        <f t="array" ref="N31">IF(ROWS(N$29:N31)&lt;=$M$30,INDEX('PRÉVENTION ET DE CONTRÔLE'!$C$5:$C$29,SMALL(IF(prevstage=3,IF(prevstatus=0,ROW(prevstatus)-ROW('PRÉVENTION ET DE CONTRÔLE'!$E$5)+1)),ROWS(N$29:N31))),"")</f>
        <v>La capacité à mener des enquêtes de terrain et à répondre aux épidémies de rage animale et humaine à temps est présente dans tout le pays</v>
      </c>
      <c r="O31" s="177" t="str">
        <f t="array" ref="O31">IF(ROWS(O$29:O31)&lt;=$M$31,INDEX('PRÉVENTION ET DE CONTRÔLE'!$C$5:$C$29,SMALL(IF(prevstage=3,IF(prevstatus=1,ROW(prevstatus)-ROW('PRÉVENTION ET DE CONTRÔLE'!$E$5)+1)),ROWS(O$29:O31))),"")</f>
        <v/>
      </c>
      <c r="P31" s="175" t="e">
        <f>SUMPRODUCT((dogstage=3)*(dogstatus=1))</f>
        <v>#REF!</v>
      </c>
      <c r="Q31" s="178" t="e">
        <f t="array" ref="Q31">IF(ROWS(Q$29:Q31)&lt;=$P$30,INDEX(#REF!,SMALL(IF(dogstage=3,IF(dogstatus=0,ROW(dogstatus)-ROW(#REF!)+1)),ROWS(Q$29:Q31))),"")</f>
        <v>#REF!</v>
      </c>
      <c r="R31" s="173" t="e">
        <f t="array" ref="R31">IF(ROWS(R$29:R31)&lt;=$P$31,INDEX(#REF!,SMALL(IF(dogstage=3,IF(dogstatus=1,ROW(dogstatus)-ROW(#REF!)+1)),ROWS(R$29:R31))),"")</f>
        <v>#REF!</v>
      </c>
      <c r="S31" s="175">
        <f>SUMPRODUCT((crossstage=3)*(crossstatus=1))</f>
        <v>0</v>
      </c>
      <c r="T31" s="176" t="str">
        <f t="array" ref="T31">IF(ROWS(T$29:T31)&lt;=$S$30,INDEX('QUESTIONS TRANSVERSALES'!$C$5:$C$16,SMALL(IF(crossstage=3,IF(crossstatus=0,ROW(crossstatus)-ROW('QUESTIONS TRANSVERSALES'!$E$5)+1)),ROWS(T$29:T31))),"")</f>
        <v/>
      </c>
      <c r="U31" s="177" t="str">
        <f t="array" ref="U31">IF(ROWS(U$29:U31)&lt;=$S$31,INDEX('QUESTIONS TRANSVERSALES'!$C$5:$C$16,SMALL(IF(crossstage=3,IF(crossstatus=1,ROW(crossstatus)-ROW('QUESTIONS TRANSVERSALES'!$E$5)+1)),ROWS(U$29:U31))),"")</f>
        <v/>
      </c>
      <c r="Z31" s="90"/>
    </row>
    <row r="32" spans="1:26" s="15" customFormat="1" ht="89.25" x14ac:dyDescent="0.25">
      <c r="A32" s="47"/>
      <c r="B32" s="178" t="str">
        <f t="array" ref="B32">IF(ROWS(B$29:B32)&lt;=$A$30,INDEX(LÉGISLATION!$C$5:$C$19,SMALL(IF(STAGE=3,IF(STATUS=0,ROW(STATUS)-ROW(LÉGISLATION!$E$5)+1)),ROWS(B$29:B32))),"")</f>
        <v/>
      </c>
      <c r="C32" s="173" t="str">
        <f t="array" ref="C32">IF(ROWS(C$29:C32)&lt;=$A$31,INDEX(LÉGISLATION!$C$5:$C$19,SMALL(IF(STAGE=3,IF(STATUS=1,ROW(STATUS)-ROW(LÉGISLATION!$E$5)+1)),ROWS(C$29:C32))),"")</f>
        <v/>
      </c>
      <c r="D32" s="174"/>
      <c r="E32" s="178" t="str">
        <f t="array" ref="E32">IF(ROWS(E$29:E32)&lt;=$D$30,INDEX('COLLECTE DE DONNÉES ET ANALYSE'!$C$5:$C$22,SMALL(IF(datastage=3,IF(datastatus=0,ROW(datastatus)-ROW('COLLECTE DE DONNÉES ET ANALYSE'!$E$5)+1)),ROWS(E$29:E32))),"")</f>
        <v/>
      </c>
      <c r="F32" s="173" t="str">
        <f t="array" ref="F32">IF(ROWS(F$29:F32)&lt;=$D$31,INDEX('COLLECTE DE DONNÉES ET ANALYSE'!$C$5:$C$22,SMALL(IF(datastage=3,IF(datastatus=1,ROW(datastatus)-ROW('COLLECTE DE DONNÉES ET ANALYSE'!$E$5)+1)),ROWS(F$29:F32))),"")</f>
        <v>Initiation de la collection des données économiques de la santé locale et nationale concernant le contrôle de rage, afin de favoriser les arguments au profit des investissements de la lutte contre la rage</v>
      </c>
      <c r="G32" s="175"/>
      <c r="H32" s="176" t="str">
        <f t="array" ref="H32">IF(ROWS(H$29:H32)&lt;=$G$30,INDEX('DIAGNOSTIC DE LABORATOIRE'!$C$5:$C$15,SMALL(IF(labstage=3,IF(labstatus=0,ROW(labstatus)-ROW('DIAGNOSTIC DE LABORATOIRE'!$E$5)+1)),ROWS(H$29:H32))),"")</f>
        <v/>
      </c>
      <c r="I32" s="177" t="str">
        <f t="array" ref="I32">IF(ROWS(I$29:I32)&lt;=$G$31,INDEX('DIAGNOSTIC DE LABORATOIRE'!$C$5:$C$15,SMALL(IF(labstage=3,IF(labstatus=1,ROW(labstatus)-ROW('DIAGNOSTIC DE LABORATOIRE'!$F$5)+1)),ROWS(I$29:I32))),"")</f>
        <v/>
      </c>
      <c r="J32" s="175"/>
      <c r="K32" s="178" t="str">
        <f t="array" ref="K32">IF(ROWS(K$29:K32)&lt;=$J$30,INDEX('INFORMATION, ÉDUCTION ET LA COM'!$C$5:$C$21,SMALL(IF(iecstage=3,IF(iecstatus=0,ROW(iecstatus)-ROW('INFORMATION, ÉDUCTION ET LA COM'!$E$5)+1)),ROWS(K$29:K32))),"")</f>
        <v/>
      </c>
      <c r="L32" s="173" t="str">
        <f t="array" ref="L32">IF(ROWS(L$29:L32)&lt;=$J$31,INDEX('INFORMATION, ÉDUCTION ET LA COM'!$C$5:$C$21,SMALL(IF(iecstage=3,IF(iecstatus=1,ROW(iecstatus)-ROW('INFORMATION, ÉDUCTION ET LA COM'!$E$5)+1)),ROWS(L$29:L32))),"")</f>
        <v/>
      </c>
      <c r="M32" s="179"/>
      <c r="N32" s="176" t="str">
        <f t="array" ref="N32">IF(ROWS(N$29:N32)&lt;=$M$30,INDEX('PRÉVENTION ET DE CONTRÔLE'!$C$5:$C$29,SMALL(IF(prevstage=3,IF(prevstatus=0,ROW(prevstatus)-ROW('PRÉVENTION ET DE CONTRÔLE'!$E$5)+1)),ROWS(N$29:N32))),"")</f>
        <v>Suffisamment d’installations pour les observations des chiens suspects de  rage existent, et elles sont conformes aux réglementations internationales de protection des animaux</v>
      </c>
      <c r="O32" s="177" t="str">
        <f t="array" ref="O32">IF(ROWS(O$29:O32)&lt;=$M$31,INDEX('PRÉVENTION ET DE CONTRÔLE'!$C$5:$C$29,SMALL(IF(prevstage=3,IF(prevstatus=1,ROW(prevstatus)-ROW('PRÉVENTION ET DE CONTRÔLE'!$E$5)+1)),ROWS(O$29:O32))),"")</f>
        <v/>
      </c>
      <c r="P32" s="175"/>
      <c r="Q32" s="178" t="e">
        <f t="array" ref="Q32">IF(ROWS(Q$29:Q32)&lt;=$P$30,INDEX(#REF!,SMALL(IF(dogstage=3,IF(dogstatus=0,ROW(dogstatus)-ROW(#REF!)+1)),ROWS(Q$29:Q32))),"")</f>
        <v>#REF!</v>
      </c>
      <c r="R32" s="173" t="e">
        <f t="array" ref="R32">IF(ROWS(R$29:R32)&lt;=$P$31,INDEX(#REF!,SMALL(IF(dogstage=3,IF(dogstatus=1,ROW(dogstatus)-ROW(#REF!)+1)),ROWS(R$29:R32))),"")</f>
        <v>#REF!</v>
      </c>
      <c r="S32" s="175"/>
      <c r="T32" s="176" t="str">
        <f t="array" ref="T32">IF(ROWS(T$29:T32)&lt;=$S$30,INDEX('QUESTIONS TRANSVERSALES'!$C$5:$C$16,SMALL(IF(crossstage=3,IF(crossstatus=0,ROW(crossstatus)-ROW('QUESTIONS TRANSVERSALES'!$E$5)+1)),ROWS(T$29:T32))),"")</f>
        <v/>
      </c>
      <c r="U32" s="177" t="str">
        <f t="array" ref="U32">IF(ROWS(U$29:U32)&lt;=$S$31,INDEX('QUESTIONS TRANSVERSALES'!$C$5:$C$16,SMALL(IF(crossstage=3,IF(crossstatus=1,ROW(crossstatus)-ROW('QUESTIONS TRANSVERSALES'!$E$5)+1)),ROWS(U$29:U32))),"")</f>
        <v/>
      </c>
      <c r="Z32" s="90"/>
    </row>
    <row r="33" spans="1:26" s="15" customFormat="1" ht="51" x14ac:dyDescent="0.25">
      <c r="A33" s="47"/>
      <c r="B33" s="178" t="str">
        <f t="array" ref="B33">IF(ROWS(B$29:B33)&lt;=$A$30,INDEX(LÉGISLATION!$C$5:$C$19,SMALL(IF(STAGE=3,IF(STATUS=0,ROW(STATUS)-ROW(LÉGISLATION!$E$5)+1)),ROWS(B$29:B33))),"")</f>
        <v/>
      </c>
      <c r="C33" s="173" t="str">
        <f t="array" ref="C33">IF(ROWS(C$29:C33)&lt;=$A$31,INDEX(LÉGISLATION!$C$5:$C$19,SMALL(IF(STAGE=3,IF(STATUS=1,ROW(STATUS)-ROW(LÉGISLATION!$E$5)+1)),ROWS(C$29:C33))),"")</f>
        <v/>
      </c>
      <c r="D33" s="174"/>
      <c r="E33" s="178" t="str">
        <f t="array" ref="E33">IF(ROWS(E$29:E33)&lt;=$D$30,INDEX('COLLECTE DE DONNÉES ET ANALYSE'!$C$5:$C$22,SMALL(IF(datastage=3,IF(datastatus=0,ROW(datastatus)-ROW('COLLECTE DE DONNÉES ET ANALYSE'!$E$5)+1)),ROWS(E$29:E33))),"")</f>
        <v/>
      </c>
      <c r="F33" s="173" t="str">
        <f t="array" ref="F33">IF(ROWS(F$29:F33)&lt;=$D$31,INDEX('COLLECTE DE DONNÉES ET ANALYSE'!$C$5:$C$22,SMALL(IF(datastage=3,IF(datastatus=1,ROW(datastatus)-ROW('COLLECTE DE DONNÉES ET ANALYSE'!$E$5)+1)),ROWS(F$29:F33))),"")</f>
        <v/>
      </c>
      <c r="G33" s="175"/>
      <c r="H33" s="176" t="str">
        <f t="array" ref="H33">IF(ROWS(H$29:H33)&lt;=$G$30,INDEX('DIAGNOSTIC DE LABORATOIRE'!$C$5:$C$15,SMALL(IF(labstage=3,IF(labstatus=0,ROW(labstatus)-ROW('DIAGNOSTIC DE LABORATOIRE'!$E$5)+1)),ROWS(H$29:H33))),"")</f>
        <v/>
      </c>
      <c r="I33" s="177" t="str">
        <f t="array" ref="I33">IF(ROWS(I$29:I33)&lt;=$G$31,INDEX('DIAGNOSTIC DE LABORATOIRE'!$C$5:$C$15,SMALL(IF(labstage=3,IF(labstatus=1,ROW(labstatus)-ROW('DIAGNOSTIC DE LABORATOIRE'!$F$5)+1)),ROWS(I$29:I33))),"")</f>
        <v/>
      </c>
      <c r="J33" s="175"/>
      <c r="K33" s="178" t="str">
        <f t="array" ref="K33">IF(ROWS(K$29:K33)&lt;=$J$30,INDEX('INFORMATION, ÉDUCTION ET LA COM'!$C$5:$C$21,SMALL(IF(iecstage=3,IF(iecstatus=0,ROW(iecstatus)-ROW('INFORMATION, ÉDUCTION ET LA COM'!$E$5)+1)),ROWS(K$29:K33))),"")</f>
        <v/>
      </c>
      <c r="L33" s="173" t="str">
        <f t="array" ref="L33">IF(ROWS(L$29:L33)&lt;=$J$31,INDEX('INFORMATION, ÉDUCTION ET LA COM'!$C$5:$C$21,SMALL(IF(iecstage=3,IF(iecstatus=1,ROW(iecstatus)-ROW('INFORMATION, ÉDUCTION ET LA COM'!$E$5)+1)),ROWS(L$29:L33))),"")</f>
        <v/>
      </c>
      <c r="M33" s="179"/>
      <c r="N33" s="176" t="str">
        <f t="array" ref="N33">IF(ROWS(N$29:N33)&lt;=$M$30,INDEX('PRÉVENTION ET DE CONTRÔLE'!$C$5:$C$29,SMALL(IF(prevstage=3,IF(prevstatus=0,ROW(prevstatus)-ROW('PRÉVENTION ET DE CONTRÔLE'!$E$5)+1)),ROWS(N$29:N33))),"")</f>
        <v>Identification des zones exemptes de rage par l'absence de cas de rage (variante canine) pendant au moins une période de 2 ans</v>
      </c>
      <c r="O33" s="177" t="str">
        <f t="array" ref="O33">IF(ROWS(O$29:O33)&lt;=$M$31,INDEX('PRÉVENTION ET DE CONTRÔLE'!$C$5:$C$29,SMALL(IF(prevstage=3,IF(prevstatus=1,ROW(prevstatus)-ROW('PRÉVENTION ET DE CONTRÔLE'!$E$5)+1)),ROWS(O$29:O33))),"")</f>
        <v/>
      </c>
      <c r="P33" s="175"/>
      <c r="Q33" s="178" t="e">
        <f t="array" ref="Q33">IF(ROWS(Q$29:Q33)&lt;=$P$30,INDEX(#REF!,SMALL(IF(dogstage=3,IF(dogstatus=0,ROW(dogstatus)-ROW(#REF!)+1)),ROWS(Q$29:Q33))),"")</f>
        <v>#REF!</v>
      </c>
      <c r="R33" s="173" t="e">
        <f t="array" ref="R33">IF(ROWS(R$29:R33)&lt;=$P$31,INDEX(#REF!,SMALL(IF(dogstage=3,IF(dogstatus=1,ROW(dogstatus)-ROW(#REF!)+1)),ROWS(R$29:R33))),"")</f>
        <v>#REF!</v>
      </c>
      <c r="S33" s="175"/>
      <c r="T33" s="176" t="str">
        <f t="array" ref="T33">IF(ROWS(T$29:T33)&lt;=$S$30,INDEX('QUESTIONS TRANSVERSALES'!$C$5:$C$16,SMALL(IF(crossstage=3,IF(crossstatus=0,ROW(crossstatus)-ROW('QUESTIONS TRANSVERSALES'!$E$5)+1)),ROWS(T$29:T33))),"")</f>
        <v/>
      </c>
      <c r="U33" s="177" t="str">
        <f t="array" ref="U33">IF(ROWS(U$29:U33)&lt;=$S$31,INDEX('QUESTIONS TRANSVERSALES'!$C$5:$C$16,SMALL(IF(crossstage=3,IF(crossstatus=1,ROW(crossstatus)-ROW('QUESTIONS TRANSVERSALES'!$E$5)+1)),ROWS(U$29:U33))),"")</f>
        <v/>
      </c>
      <c r="Z33" s="90"/>
    </row>
    <row r="34" spans="1:26" s="15" customFormat="1" x14ac:dyDescent="0.25">
      <c r="A34" s="47"/>
      <c r="B34" s="178" t="str">
        <f t="array" ref="B34">IF(ROWS(B$29:B34)&lt;=$A$30,INDEX(LÉGISLATION!$C$5:$C$19,SMALL(IF(STAGE=3,IF(STATUS=0,ROW(STATUS)-ROW(LÉGISLATION!$E$5)+1)),ROWS(B$29:B34))),"")</f>
        <v/>
      </c>
      <c r="C34" s="173" t="str">
        <f t="array" ref="C34">IF(ROWS(C$29:C34)&lt;=$A$31,INDEX(LÉGISLATION!$C$5:$C$19,SMALL(IF(STAGE=3,IF(STATUS=1,ROW(STATUS)-ROW(LÉGISLATION!$E$5)+1)),ROWS(C$29:C34))),"")</f>
        <v/>
      </c>
      <c r="D34" s="174"/>
      <c r="E34" s="178" t="str">
        <f t="array" ref="E34">IF(ROWS(E$29:E34)&lt;=$D$30,INDEX('COLLECTE DE DONNÉES ET ANALYSE'!$C$5:$C$22,SMALL(IF(datastage=3,IF(datastatus=0,ROW(datastatus)-ROW('COLLECTE DE DONNÉES ET ANALYSE'!$E$5)+1)),ROWS(E$29:E34))),"")</f>
        <v/>
      </c>
      <c r="F34" s="173" t="str">
        <f t="array" ref="F34">IF(ROWS(F$29:F34)&lt;=$D$31,INDEX('COLLECTE DE DONNÉES ET ANALYSE'!$C$5:$C$22,SMALL(IF(datastage=3,IF(datastatus=1,ROW(datastatus)-ROW('COLLECTE DE DONNÉES ET ANALYSE'!$E$5)+1)),ROWS(F$29:F34))),"")</f>
        <v/>
      </c>
      <c r="G34" s="175"/>
      <c r="H34" s="176" t="str">
        <f t="array" ref="H34">IF(ROWS(H$29:H34)&lt;=$G$30,INDEX('DIAGNOSTIC DE LABORATOIRE'!$C$5:$C$15,SMALL(IF(labstage=3,IF(labstatus=0,ROW(labstatus)-ROW('DIAGNOSTIC DE LABORATOIRE'!$E$5)+1)),ROWS(H$29:H34))),"")</f>
        <v/>
      </c>
      <c r="I34" s="177" t="str">
        <f t="array" ref="I34">IF(ROWS(I$29:I34)&lt;=$G$31,INDEX('DIAGNOSTIC DE LABORATOIRE'!$C$5:$C$15,SMALL(IF(labstage=3,IF(labstatus=1,ROW(labstatus)-ROW('DIAGNOSTIC DE LABORATOIRE'!$F$5)+1)),ROWS(I$29:I34))),"")</f>
        <v/>
      </c>
      <c r="J34" s="175"/>
      <c r="K34" s="178" t="str">
        <f t="array" ref="K34">IF(ROWS(K$29:K34)&lt;=$J$30,INDEX('INFORMATION, ÉDUCTION ET LA COM'!$C$5:$C$21,SMALL(IF(iecstage=3,IF(iecstatus=0,ROW(iecstatus)-ROW('INFORMATION, ÉDUCTION ET LA COM'!$E$5)+1)),ROWS(K$29:K34))),"")</f>
        <v/>
      </c>
      <c r="L34" s="173" t="str">
        <f t="array" ref="L34">IF(ROWS(L$29:L34)&lt;=$J$31,INDEX('INFORMATION, ÉDUCTION ET LA COM'!$C$5:$C$21,SMALL(IF(iecstage=3,IF(iecstatus=1,ROW(iecstatus)-ROW('INFORMATION, ÉDUCTION ET LA COM'!$E$5)+1)),ROWS(L$29:L34))),"")</f>
        <v/>
      </c>
      <c r="M34" s="179"/>
      <c r="N34" s="176" t="str">
        <f t="array" ref="N34">IF(ROWS(N$29:N34)&lt;=$M$30,INDEX('PRÉVENTION ET DE CONTRÔLE'!$C$5:$C$29,SMALL(IF(prevstage=3,IF(prevstatus=0,ROW(prevstatus)-ROW('PRÉVENTION ET DE CONTRÔLE'!$E$5)+1)),ROWS(N$29:N34))),"")</f>
        <v/>
      </c>
      <c r="O34" s="177" t="str">
        <f t="array" ref="O34">IF(ROWS(O$29:O34)&lt;=$M$31,INDEX('PRÉVENTION ET DE CONTRÔLE'!$C$5:$C$29,SMALL(IF(prevstage=3,IF(prevstatus=1,ROW(prevstatus)-ROW('PRÉVENTION ET DE CONTRÔLE'!$E$5)+1)),ROWS(O$29:O34))),"")</f>
        <v/>
      </c>
      <c r="P34" s="175"/>
      <c r="Q34" s="178" t="e">
        <f t="array" ref="Q34">IF(ROWS(Q$29:Q34)&lt;=$P$30,INDEX(#REF!,SMALL(IF(dogstage=3,IF(dogstatus=0,ROW(dogstatus)-ROW(#REF!)+1)),ROWS(Q$29:Q34))),"")</f>
        <v>#REF!</v>
      </c>
      <c r="R34" s="173" t="e">
        <f t="array" ref="R34">IF(ROWS(R$29:R34)&lt;=$P$31,INDEX(#REF!,SMALL(IF(dogstage=3,IF(dogstatus=1,ROW(dogstatus)-ROW(#REF!)+1)),ROWS(R$29:R34))),"")</f>
        <v>#REF!</v>
      </c>
      <c r="S34" s="175"/>
      <c r="T34" s="176" t="str">
        <f t="array" ref="T34">IF(ROWS(T$29:T34)&lt;=$S$30,INDEX('QUESTIONS TRANSVERSALES'!$C$5:$C$16,SMALL(IF(crossstage=3,IF(crossstatus=0,ROW(crossstatus)-ROW('QUESTIONS TRANSVERSALES'!$E$5)+1)),ROWS(T$29:T34))),"")</f>
        <v/>
      </c>
      <c r="U34" s="177" t="str">
        <f t="array" ref="U34">IF(ROWS(U$29:U34)&lt;=$S$31,INDEX('QUESTIONS TRANSVERSALES'!$C$5:$C$16,SMALL(IF(crossstage=3,IF(crossstatus=1,ROW(crossstatus)-ROW('QUESTIONS TRANSVERSALES'!$E$5)+1)),ROWS(U$29:U34))),"")</f>
        <v/>
      </c>
      <c r="Z34" s="90"/>
    </row>
    <row r="35" spans="1:26" s="15" customFormat="1" x14ac:dyDescent="0.25">
      <c r="A35" s="47"/>
      <c r="B35" s="178" t="str">
        <f t="array" ref="B35">IF(ROWS(B$29:B35)&lt;=$A$30,INDEX(LÉGISLATION!$C$5:$C$19,SMALL(IF(STAGE=3,IF(STATUS=0,ROW(STATUS)-ROW(LÉGISLATION!$E$5)+1)),ROWS(B$29:B35))),"")</f>
        <v/>
      </c>
      <c r="C35" s="173" t="str">
        <f t="array" ref="C35">IF(ROWS(C$29:C35)&lt;=$A$31,INDEX(LÉGISLATION!$C$5:$C$19,SMALL(IF(STAGE=3,IF(STATUS=1,ROW(STATUS)-ROW(LÉGISLATION!$E$5)+1)),ROWS(C$29:C35))),"")</f>
        <v/>
      </c>
      <c r="D35" s="174"/>
      <c r="E35" s="178" t="str">
        <f t="array" ref="E35">IF(ROWS(E$29:E35)&lt;=$D$30,INDEX('COLLECTE DE DONNÉES ET ANALYSE'!$C$5:$C$22,SMALL(IF(datastage=3,IF(datastatus=0,ROW(datastatus)-ROW('COLLECTE DE DONNÉES ET ANALYSE'!$E$5)+1)),ROWS(E$29:E35))),"")</f>
        <v/>
      </c>
      <c r="F35" s="173" t="str">
        <f t="array" ref="F35">IF(ROWS(F$29:F35)&lt;=$D$31,INDEX('COLLECTE DE DONNÉES ET ANALYSE'!$C$5:$C$22,SMALL(IF(datastage=3,IF(datastatus=1,ROW(datastatus)-ROW('COLLECTE DE DONNÉES ET ANALYSE'!$E$5)+1)),ROWS(F$29:F35))),"")</f>
        <v/>
      </c>
      <c r="G35" s="175"/>
      <c r="H35" s="176" t="str">
        <f t="array" ref="H35">IF(ROWS(H$29:H35)&lt;=$G$30,INDEX('DIAGNOSTIC DE LABORATOIRE'!$C$5:$C$15,SMALL(IF(labstage=3,IF(labstatus=0,ROW(labstatus)-ROW('DIAGNOSTIC DE LABORATOIRE'!$E$5)+1)),ROWS(H$29:H35))),"")</f>
        <v/>
      </c>
      <c r="I35" s="177" t="str">
        <f t="array" ref="I35">IF(ROWS(I$29:I35)&lt;=$G$31,INDEX('DIAGNOSTIC DE LABORATOIRE'!$C$5:$C$15,SMALL(IF(labstage=3,IF(labstatus=1,ROW(labstatus)-ROW('DIAGNOSTIC DE LABORATOIRE'!$F$5)+1)),ROWS(I$29:I35))),"")</f>
        <v/>
      </c>
      <c r="J35" s="175"/>
      <c r="K35" s="178" t="str">
        <f t="array" ref="K35">IF(ROWS(K$29:K35)&lt;=$J$30,INDEX('INFORMATION, ÉDUCTION ET LA COM'!$C$5:$C$21,SMALL(IF(iecstage=3,IF(iecstatus=0,ROW(iecstatus)-ROW('INFORMATION, ÉDUCTION ET LA COM'!$E$5)+1)),ROWS(K$29:K35))),"")</f>
        <v/>
      </c>
      <c r="L35" s="173" t="str">
        <f t="array" ref="L35">IF(ROWS(L$29:L35)&lt;=$J$31,INDEX('INFORMATION, ÉDUCTION ET LA COM'!$C$5:$C$21,SMALL(IF(iecstage=3,IF(iecstatus=1,ROW(iecstatus)-ROW('INFORMATION, ÉDUCTION ET LA COM'!$E$5)+1)),ROWS(L$29:L35))),"")</f>
        <v/>
      </c>
      <c r="M35" s="179"/>
      <c r="N35" s="176" t="str">
        <f t="array" ref="N35">IF(ROWS(N$29:N35)&lt;=$M$30,INDEX('PRÉVENTION ET DE CONTRÔLE'!$C$5:$C$29,SMALL(IF(prevstage=3,IF(prevstatus=0,ROW(prevstatus)-ROW('PRÉVENTION ET DE CONTRÔLE'!$E$5)+1)),ROWS(N$29:N35))),"")</f>
        <v/>
      </c>
      <c r="O35" s="177" t="str">
        <f t="array" ref="O35">IF(ROWS(O$29:O35)&lt;=$M$31,INDEX('PRÉVENTION ET DE CONTRÔLE'!$C$5:$C$29,SMALL(IF(prevstage=3,IF(prevstatus=1,ROW(prevstatus)-ROW('PRÉVENTION ET DE CONTRÔLE'!$E$5)+1)),ROWS(O$29:O35))),"")</f>
        <v/>
      </c>
      <c r="P35" s="175"/>
      <c r="Q35" s="178" t="e">
        <f t="array" ref="Q35">IF(ROWS(Q$29:Q35)&lt;=$P$30,INDEX(#REF!,SMALL(IF(dogstage=3,IF(dogstatus=0,ROW(dogstatus)-ROW(#REF!)+1)),ROWS(Q$29:Q35))),"")</f>
        <v>#REF!</v>
      </c>
      <c r="R35" s="173" t="e">
        <f t="array" ref="R35">IF(ROWS(R$29:R35)&lt;=$P$31,INDEX(#REF!,SMALL(IF(dogstage=3,IF(dogstatus=1,ROW(dogstatus)-ROW(#REF!)+1)),ROWS(R$29:R35))),"")</f>
        <v>#REF!</v>
      </c>
      <c r="S35" s="175"/>
      <c r="T35" s="176" t="str">
        <f t="array" ref="T35">IF(ROWS(T$29:T35)&lt;=$S$30,INDEX('QUESTIONS TRANSVERSALES'!$C$5:$C$16,SMALL(IF(crossstage=3,IF(crossstatus=0,ROW(crossstatus)-ROW('QUESTIONS TRANSVERSALES'!$E$5)+1)),ROWS(T$29:T35))),"")</f>
        <v/>
      </c>
      <c r="U35" s="177" t="str">
        <f t="array" ref="U35">IF(ROWS(U$29:U35)&lt;=$S$31,INDEX('QUESTIONS TRANSVERSALES'!$C$5:$C$16,SMALL(IF(crossstage=3,IF(crossstatus=1,ROW(crossstatus)-ROW('QUESTIONS TRANSVERSALES'!$E$5)+1)),ROWS(U$29:U35))),"")</f>
        <v/>
      </c>
      <c r="Z35" s="90"/>
    </row>
    <row r="36" spans="1:26" s="15" customFormat="1" x14ac:dyDescent="0.25">
      <c r="A36" s="47"/>
      <c r="B36" s="178" t="str">
        <f t="array" ref="B36">IF(ROWS(B$29:B36)&lt;=$A$30,INDEX(LÉGISLATION!$C$5:$C$19,SMALL(IF(STAGE=3,IF(STATUS=0,ROW(STATUS)-ROW(LÉGISLATION!$E$5)+1)),ROWS(B$29:B36))),"")</f>
        <v/>
      </c>
      <c r="C36" s="173" t="str">
        <f t="array" ref="C36">IF(ROWS(C$29:C36)&lt;=$A$31,INDEX(LÉGISLATION!$C$5:$C$19,SMALL(IF(STAGE=3,IF(STATUS=1,ROW(STATUS)-ROW(LÉGISLATION!$E$5)+1)),ROWS(C$29:C36))),"")</f>
        <v/>
      </c>
      <c r="D36" s="174"/>
      <c r="E36" s="178" t="str">
        <f t="array" ref="E36">IF(ROWS(E$29:E36)&lt;=$D$30,INDEX('COLLECTE DE DONNÉES ET ANALYSE'!$C$5:$C$22,SMALL(IF(datastage=3,IF(datastatus=0,ROW(datastatus)-ROW('COLLECTE DE DONNÉES ET ANALYSE'!$E$5)+1)),ROWS(E$29:E36))),"")</f>
        <v/>
      </c>
      <c r="F36" s="173" t="str">
        <f t="array" ref="F36">IF(ROWS(F$29:F36)&lt;=$D$31,INDEX('COLLECTE DE DONNÉES ET ANALYSE'!$C$5:$C$22,SMALL(IF(datastage=3,IF(datastatus=1,ROW(datastatus)-ROW('COLLECTE DE DONNÉES ET ANALYSE'!$E$5)+1)),ROWS(F$29:F36))),"")</f>
        <v/>
      </c>
      <c r="G36" s="175"/>
      <c r="H36" s="176" t="str">
        <f t="array" ref="H36">IF(ROWS(H$29:H36)&lt;=$G$30,INDEX('DIAGNOSTIC DE LABORATOIRE'!$C$5:$C$15,SMALL(IF(labstage=3,IF(labstatus=0,ROW(labstatus)-ROW('DIAGNOSTIC DE LABORATOIRE'!$E$5)+1)),ROWS(H$29:H36))),"")</f>
        <v/>
      </c>
      <c r="I36" s="177" t="str">
        <f t="array" ref="I36">IF(ROWS(I$29:I36)&lt;=$G$31,INDEX('DIAGNOSTIC DE LABORATOIRE'!$C$5:$C$15,SMALL(IF(labstage=3,IF(labstatus=1,ROW(labstatus)-ROW('DIAGNOSTIC DE LABORATOIRE'!$F$5)+1)),ROWS(I$29:I36))),"")</f>
        <v/>
      </c>
      <c r="J36" s="175"/>
      <c r="K36" s="178" t="str">
        <f t="array" ref="K36">IF(ROWS(K$29:K36)&lt;=$J$30,INDEX('INFORMATION, ÉDUCTION ET LA COM'!$C$5:$C$21,SMALL(IF(iecstage=3,IF(iecstatus=0,ROW(iecstatus)-ROW('INFORMATION, ÉDUCTION ET LA COM'!$E$5)+1)),ROWS(K$29:K36))),"")</f>
        <v/>
      </c>
      <c r="L36" s="173" t="str">
        <f t="array" ref="L36">IF(ROWS(L$29:L36)&lt;=$J$31,INDEX('INFORMATION, ÉDUCTION ET LA COM'!$C$5:$C$21,SMALL(IF(iecstage=3,IF(iecstatus=1,ROW(iecstatus)-ROW('INFORMATION, ÉDUCTION ET LA COM'!$E$5)+1)),ROWS(L$29:L36))),"")</f>
        <v/>
      </c>
      <c r="M36" s="179"/>
      <c r="N36" s="176" t="str">
        <f t="array" ref="N36">IF(ROWS(N$29:N36)&lt;=$M$30,INDEX('PRÉVENTION ET DE CONTRÔLE'!$C$5:$C$29,SMALL(IF(prevstage=3,IF(prevstatus=0,ROW(prevstatus)-ROW('PRÉVENTION ET DE CONTRÔLE'!$E$5)+1)),ROWS(N$29:N36))),"")</f>
        <v/>
      </c>
      <c r="O36" s="177" t="str">
        <f t="array" ref="O36">IF(ROWS(O$29:O36)&lt;=$M$31,INDEX('PRÉVENTION ET DE CONTRÔLE'!$C$5:$C$29,SMALL(IF(prevstage=3,IF(prevstatus=1,ROW(prevstatus)-ROW('PRÉVENTION ET DE CONTRÔLE'!$E$5)+1)),ROWS(O$29:O36))),"")</f>
        <v/>
      </c>
      <c r="P36" s="175"/>
      <c r="Q36" s="178" t="e">
        <f t="array" ref="Q36">IF(ROWS(Q$29:Q36)&lt;=$P$30,INDEX(#REF!,SMALL(IF(dogstage=3,IF(dogstatus=0,ROW(dogstatus)-ROW(#REF!)+1)),ROWS(Q$29:Q36))),"")</f>
        <v>#REF!</v>
      </c>
      <c r="R36" s="173" t="e">
        <f t="array" ref="R36">IF(ROWS(R$29:R36)&lt;=$P$31,INDEX(#REF!,SMALL(IF(dogstage=3,IF(dogstatus=1,ROW(dogstatus)-ROW(#REF!)+1)),ROWS(R$29:R36))),"")</f>
        <v>#REF!</v>
      </c>
      <c r="S36" s="175"/>
      <c r="T36" s="176" t="str">
        <f t="array" ref="T36">IF(ROWS(T$29:T36)&lt;=$S$30,INDEX('QUESTIONS TRANSVERSALES'!$C$5:$C$16,SMALL(IF(crossstage=3,IF(crossstatus=0,ROW(crossstatus)-ROW('QUESTIONS TRANSVERSALES'!$E$5)+1)),ROWS(T$29:T36))),"")</f>
        <v/>
      </c>
      <c r="U36" s="177" t="str">
        <f t="array" ref="U36">IF(ROWS(U$29:U36)&lt;=$S$31,INDEX('QUESTIONS TRANSVERSALES'!$C$5:$C$16,SMALL(IF(crossstage=3,IF(crossstatus=1,ROW(crossstatus)-ROW('QUESTIONS TRANSVERSALES'!$E$5)+1)),ROWS(U$29:U36))),"")</f>
        <v/>
      </c>
      <c r="Z36" s="90"/>
    </row>
    <row r="37" spans="1:26" s="15" customFormat="1" x14ac:dyDescent="0.25">
      <c r="A37" s="48"/>
      <c r="B37" s="180" t="str">
        <f t="array" ref="B37">IF(ROWS(B$29:B37)&lt;=$A$30,INDEX(LÉGISLATION!$C$5:$C$19,SMALL(IF(STAGE=3,IF(STATUS=0,ROW(STATUS)-ROW(LÉGISLATION!$E$5)+1)),ROWS(B$29:B37))),"")</f>
        <v/>
      </c>
      <c r="C37" s="181" t="str">
        <f t="array" ref="C37">IF(ROWS(C$29:C37)&lt;=$A$31,INDEX(LÉGISLATION!$C$5:$C$19,SMALL(IF(STAGE=3,IF(STATUS=1,ROW(STATUS)-ROW(LÉGISLATION!$E$5)+1)),ROWS(C$29:C37))),"")</f>
        <v/>
      </c>
      <c r="D37" s="182"/>
      <c r="E37" s="180" t="str">
        <f t="array" ref="E37">IF(ROWS(E$29:E37)&lt;=$D$30,INDEX('COLLECTE DE DONNÉES ET ANALYSE'!$C$5:$C$22,SMALL(IF(datastage=3,IF(datastatus=0,ROW(datastatus)-ROW('COLLECTE DE DONNÉES ET ANALYSE'!$E$5)+1)),ROWS(E$29:E37))),"")</f>
        <v/>
      </c>
      <c r="F37" s="181" t="str">
        <f t="array" ref="F37">IF(ROWS(F$29:F37)&lt;=$D$31,INDEX('COLLECTE DE DONNÉES ET ANALYSE'!$C$5:$C$22,SMALL(IF(datastage=3,IF(datastatus=1,ROW(datastatus)-ROW('COLLECTE DE DONNÉES ET ANALYSE'!$E$5)+1)),ROWS(F$29:F37))),"")</f>
        <v/>
      </c>
      <c r="G37" s="183"/>
      <c r="H37" s="184" t="str">
        <f t="array" ref="H37">IF(ROWS(H$29:H37)&lt;=$G$30,INDEX('DIAGNOSTIC DE LABORATOIRE'!$C$5:$C$15,SMALL(IF(labstage=3,IF(labstatus=0,ROW(labstatus)-ROW('DIAGNOSTIC DE LABORATOIRE'!$E$5)+1)),ROWS(H$29:H37))),"")</f>
        <v/>
      </c>
      <c r="I37" s="185" t="str">
        <f t="array" ref="I37">IF(ROWS(I$29:I37)&lt;=$G$31,INDEX('DIAGNOSTIC DE LABORATOIRE'!$C$5:$C$15,SMALL(IF(labstage=3,IF(labstatus=1,ROW(labstatus)-ROW('DIAGNOSTIC DE LABORATOIRE'!$F$5)+1)),ROWS(I$29:I37))),"")</f>
        <v/>
      </c>
      <c r="J37" s="183"/>
      <c r="K37" s="180" t="str">
        <f t="array" ref="K37">IF(ROWS(K$29:K37)&lt;=$J$30,INDEX('INFORMATION, ÉDUCTION ET LA COM'!$C$5:$C$21,SMALL(IF(iecstage=3,IF(iecstatus=0,ROW(iecstatus)-ROW('INFORMATION, ÉDUCTION ET LA COM'!$E$5)+1)),ROWS(K$29:K37))),"")</f>
        <v/>
      </c>
      <c r="L37" s="181" t="str">
        <f t="array" ref="L37">IF(ROWS(L$29:L37)&lt;=$J$31,INDEX('INFORMATION, ÉDUCTION ET LA COM'!$C$5:$C$21,SMALL(IF(iecstage=3,IF(iecstatus=1,ROW(iecstatus)-ROW('INFORMATION, ÉDUCTION ET LA COM'!$E$5)+1)),ROWS(L$29:L37))),"")</f>
        <v/>
      </c>
      <c r="M37" s="186"/>
      <c r="N37" s="184" t="str">
        <f t="array" ref="N37">IF(ROWS(N$29:N37)&lt;=$M$30,INDEX('PRÉVENTION ET DE CONTRÔLE'!$C$5:$C$29,SMALL(IF(prevstage=3,IF(prevstatus=0,ROW(prevstatus)-ROW('PRÉVENTION ET DE CONTRÔLE'!$E$5)+1)),ROWS(N$29:N37))),"")</f>
        <v/>
      </c>
      <c r="O37" s="185" t="str">
        <f t="array" ref="O37">IF(ROWS(O$29:O37)&lt;=$M$31,INDEX('PRÉVENTION ET DE CONTRÔLE'!$C$5:$C$29,SMALL(IF(prevstage=3,IF(prevstatus=1,ROW(prevstatus)-ROW('PRÉVENTION ET DE CONTRÔLE'!$E$5)+1)),ROWS(O$29:O37))),"")</f>
        <v/>
      </c>
      <c r="P37" s="183"/>
      <c r="Q37" s="180" t="e">
        <f t="array" ref="Q37">IF(ROWS(Q$29:Q37)&lt;=$P$30,INDEX(#REF!,SMALL(IF(dogstage=3,IF(dogstatus=0,ROW(dogstatus)-ROW(#REF!)+1)),ROWS(Q$29:Q37))),"")</f>
        <v>#REF!</v>
      </c>
      <c r="R37" s="181" t="e">
        <f t="array" ref="R37">IF(ROWS(R$29:R37)&lt;=$P$31,INDEX(#REF!,SMALL(IF(dogstage=3,IF(dogstatus=1,ROW(dogstatus)-ROW(#REF!)+1)),ROWS(R$29:R37))),"")</f>
        <v>#REF!</v>
      </c>
      <c r="S37" s="183"/>
      <c r="T37" s="184" t="str">
        <f t="array" ref="T37">IF(ROWS(T$29:T37)&lt;=$S$30,INDEX('QUESTIONS TRANSVERSALES'!$C$5:$C$16,SMALL(IF(crossstage=3,IF(crossstatus=0,ROW(crossstatus)-ROW('QUESTIONS TRANSVERSALES'!$E$5)+1)),ROWS(T$29:T37))),"")</f>
        <v/>
      </c>
      <c r="U37" s="185" t="str">
        <f t="array" ref="U37">IF(ROWS(U$29:U37)&lt;=$S$31,INDEX('QUESTIONS TRANSVERSALES'!$C$5:$C$16,SMALL(IF(crossstage=3,IF(crossstatus=1,ROW(crossstatus)-ROW('QUESTIONS TRANSVERSALES'!$E$5)+1)),ROWS(U$29:U37))),"")</f>
        <v/>
      </c>
      <c r="Z37" s="90"/>
    </row>
    <row r="38" spans="1:26" s="15" customFormat="1" ht="89.25" x14ac:dyDescent="0.25">
      <c r="A38" s="53">
        <v>4</v>
      </c>
      <c r="B38" s="165" t="str">
        <f t="array" ref="B38">IF(ROWS(B$38:B38)&lt;=$A$39,INDEX(LÉGISLATION!$C$5:$C$19,SMALL(IF(STAGE=4,IF(STATUS=0,ROW(STATUS)-ROW(LÉGISLATION!$E$5)+1)),ROWS(B$38:B38))),"")</f>
        <v>Déclaration et publication des zones exemptes de rage canine</v>
      </c>
      <c r="C38" s="166" t="str">
        <f t="array" ref="C38">IF(ROWS(C$38:C38)&lt;=$A$40,INDEX(LÉGISLATION!$C$5:$C$19,SMALL(IF(STAGE=4,IF(STATUS=1,ROW(STATUS)-ROW(LÉGISLATION!$E$5)+1)),ROWS(C$38:C38))),"")</f>
        <v/>
      </c>
      <c r="D38" s="167"/>
      <c r="E38" s="165" t="str">
        <f t="array" ref="E38">IF(ROWS(E$38:E38)&lt;=$D$39,INDEX('COLLECTE DE DONNÉES ET ANALYSE'!$C$5:$C$22,SMALL(IF(datastage=4,IF(datastatus=0,ROW(datastatus)-ROW('COLLECTE DE DONNÉES ET ANALYSE'!$E$5)+1)),ROWS(E$38:E38))),"")</f>
        <v>Les données épidémiologiques de la surveillance systématique de tous les animaux (les animaux de travail, le bétail et les animaux sauvage) sont utilisées pour améliorer la stratégie nationale de lutte contre la rage</v>
      </c>
      <c r="F38" s="166" t="str">
        <f t="array" ref="F38">IF(ROWS(F$38:F38)&lt;=$D$40,INDEX('COLLECTE DE DONNÉES ET ANALYSE'!$C$5:$C$22,SMALL(IF(datastage=4,IF(datastatus=1,ROW(datastatus)-ROW('COLLECTE DE DONNÉES ET ANALYSE'!$E$5)+1)),ROWS(F$38:F38))),"")</f>
        <v>Maintien des activités de surveillance existantes dans le pays de tous les cas suspects de rage humain</v>
      </c>
      <c r="G38" s="168"/>
      <c r="H38" s="169" t="str">
        <f t="array" ref="H38">IF(ROWS(H$38:H38)&lt;=$G$39,INDEX('DIAGNOSTIC DE LABORATOIRE'!$C$5:$C$15,SMALL(IF(labstage=4,IF(labstatus=0,ROW(labstatus)-ROW('DIAGNOSTIC DE LABORATOIRE'!$E$5)+1)),ROWS(H$38:H38))),"")</f>
        <v>Les données épidémiologiques de la surveillance systématique de tous les animaux (les animaux de travail, le bétail et les animaux sauvage) sont utilisées pour améliorer la stratégie nationale de lutte contre la rage</v>
      </c>
      <c r="I38" s="170" t="str">
        <f t="array" ref="I38">IF(ROWS(I$38:I38)&lt;=$G$40,INDEX('DIAGNOSTIC DE LABORATOIRE'!$C$5:$C$15,SMALL(IF(labstage=4,IF(labstatus=1,ROW(labstatus)-ROW('DIAGNOSTIC DE LABORATOIRE'!$F$5)+1)),ROWS(I$38:I38))),"")</f>
        <v>Maintien des activités de surveillance existantes dans le pays, y compris les examens de laboratoire de tous les cas suspects de rage canine</v>
      </c>
      <c r="J38" s="168"/>
      <c r="K38" s="165" t="str">
        <f t="array" ref="K38">IF(ROWS(K$38:K38)&lt;=$J$39,INDEX('INFORMATION, ÉDUCTION ET LA COM'!$C$5:$C$21,SMALL(IF(iecstage=4,IF(iecstatus=0,ROW(iecstatus)-ROW('INFORMATION, ÉDUCTION ET LA COM'!$E$5)+1)),ROWS(K$38:K38))),"")</f>
        <v>Déclaration et publication des pays exemptes de rage transmises par les chiens</v>
      </c>
      <c r="L38" s="166" t="str">
        <f t="array" ref="L38">IF(ROWS(L$38:L38)&lt;=$J$40,INDEX('INFORMATION, ÉDUCTION ET LA COM'!$C$5:$C$21,SMALL(IF(iecstage=4,IF(iecstatus=1,ROW(iecstatus)-ROW('INFORMATION, ÉDUCTION ET LA COM'!$E$5)+1)),ROWS(L$38:L38))),"")</f>
        <v>Les programmes de sensibilisation sont axés sur le maintien de la liberté de la rage canine et la rage humaine transmise par les chiens</v>
      </c>
      <c r="M38" s="171"/>
      <c r="N38" s="169" t="str">
        <f t="array" ref="N38">IF(ROWS(N$38:N38)&lt;=$M$39,INDEX('PRÉVENTION ET DE CONTRÔLE'!$C$5:$C$29,SMALL(IF(prevstage=4,IF(prevstatus=0,ROW(prevstatus)-ROW('PRÉVENTION ET DE CONTRÔLE'!$E$5)+1)),ROWS(N$38:N38))),"")</f>
        <v>Liberté de rage transmise par les chiens durant au moins 2 ans dans tout le pays, prouvé par l'absence de cas de rage canine (variante canine)</v>
      </c>
      <c r="O38" s="170" t="str">
        <f t="array" ref="O38">IF(ROWS(O$38:O38)&lt;=$M$40,INDEX('PRÉVENTION ET DE CONTRÔLE'!$C$5:$C$29,SMALL(IF(prevstage=4,IF(prevstatus=1,ROW(prevstatus)-ROW('PRÉVENTION ET DE CONTRÔLE'!$E$5)+1)),ROWS(O$38:O38))),"")</f>
        <v>Des campagnes de vaccination de chiens sont maintenues dans les zones où la rage canine est toujours présente, et où cela est justifié autrement (par exemple par le risque d'introduction)</v>
      </c>
      <c r="P38" s="168"/>
      <c r="Q38" s="165" t="e">
        <f t="array" ref="Q38">IF(ROWS(Q$29:Q38)&lt;=$P$39,INDEX(#REF!,SMALL(IF(dogstage=4,IF(dogstatus=0,ROW(dogstatus)-ROW(#REF!)+1)),ROWS(Q$38:Q38))),"")</f>
        <v>#REF!</v>
      </c>
      <c r="R38" s="166" t="e">
        <f t="array" ref="R38">IF(ROWS(R$38:R38)&lt;=$P$40,INDEX(#REF!,SMALL(IF(dogstage=4,IF(dogstatus=1,ROW(dogstatus)-ROW(#REF!)+1)),ROWS(R$38:R38))),"")</f>
        <v>#REF!</v>
      </c>
      <c r="S38" s="168"/>
      <c r="T38" s="169" t="str">
        <f t="array" ref="T38">IF(ROWS(T$38:T38)&lt;=$S$39,INDEX('QUESTIONS TRANSVERSALES'!$C$5:$C$16,SMALL(IF(crossstage=4,IF(crossstatus=0,ROW(crossstatus)-ROW('QUESTIONS TRANSVERSALES'!$E$5)+1)),ROWS(T$38:T38))),"")</f>
        <v>Les mesures d'inspection vétérinaire de frontière et des mesures de quarantaine sont pleinement mises en œuvre conformément à la réglementation nationale</v>
      </c>
      <c r="U38" s="170" t="str">
        <f t="array" ref="U38">IF(ROWS(U$38:U38)&lt;=$S$40,INDEX('QUESTIONS TRANSVERSALES'!$C$5:$C$16,SMALL(IF(crossstage=4,IF(crossstatus=1,ROW(crossstatus)-ROW('QUESTIONS TRANSVERSALES'!$E$5)+1)),ROWS(U$38:U38))),"")</f>
        <v/>
      </c>
      <c r="Z38" s="90"/>
    </row>
    <row r="39" spans="1:26" s="15" customFormat="1" ht="63.75" x14ac:dyDescent="0.25">
      <c r="A39" s="46">
        <f>SUMPRODUCT((STAGE=4)*(STATUS=0))</f>
        <v>1</v>
      </c>
      <c r="B39" s="178" t="str">
        <f t="array" ref="B39">IF(ROWS(B$38:B39)&lt;=$A$39,INDEX(LÉGISLATION!$C$5:$C$19,SMALL(IF(STAGE=4,IF(STATUS=0,ROW(STATUS)-ROW(LÉGISLATION!$E$5)+1)),ROWS(B$38:B39))),"")</f>
        <v/>
      </c>
      <c r="C39" s="173" t="str">
        <f t="array" ref="C39">IF(ROWS(C$38:C39)&lt;=$A$40,INDEX(LÉGISLATION!$C$5:$C$19,SMALL(IF(STAGE=4,IF(STATUS=1,ROW(STATUS)-ROW(LÉGISLATION!$E$5)+1)),ROWS(C$38:C39))),"")</f>
        <v/>
      </c>
      <c r="D39" s="174">
        <f>SUMPRODUCT((datastage=4)*(datastatus=0))</f>
        <v>1</v>
      </c>
      <c r="E39" s="178" t="str">
        <f t="array" ref="E39">IF(ROWS(E$38:E39)&lt;=$D$39,INDEX('COLLECTE DE DONNÉES ET ANALYSE'!$C$5:$C$22,SMALL(IF(datastage=4,IF(datastatus=0,ROW(datastatus)-ROW('COLLECTE DE DONNÉES ET ANALYSE'!$E$5)+1)),ROWS(E$38:E39))),"")</f>
        <v/>
      </c>
      <c r="F39" s="173" t="str">
        <f t="array" ref="F39">IF(ROWS(F$38:F39)&lt;=$D$40,INDEX('COLLECTE DE DONNÉES ET ANALYSE'!$C$5:$C$22,SMALL(IF(datastage=4,IF(datastatus=1,ROW(datastatus)-ROW('COLLECTE DE DONNÉES ET ANALYSE'!$E$5)+1)),ROWS(F$38:F39))),"")</f>
        <v/>
      </c>
      <c r="G39" s="175">
        <f>SUMPRODUCT((labstage=4)*(labstatus=0))</f>
        <v>1</v>
      </c>
      <c r="H39" s="176" t="str">
        <f t="array" ref="H39">IF(ROWS(H$38:H39)&lt;=$G$39,INDEX('DIAGNOSTIC DE LABORATOIRE'!$C$5:$C$15,SMALL(IF(labstage=4,IF(labstatus=0,ROW(labstatus)-ROW('DIAGNOSTIC DE LABORATOIRE'!$E$5)+1)),ROWS(H$38:H39))),"")</f>
        <v/>
      </c>
      <c r="I39" s="177" t="str">
        <f t="array" ref="I39">IF(ROWS(I$38:I39)&lt;=$G$40,INDEX('DIAGNOSTIC DE LABORATOIRE'!$C$5:$C$15,SMALL(IF(labstage=4,IF(labstatus=1,ROW(labstatus)-ROW('DIAGNOSTIC DE LABORATOIRE'!$F$5)+1)),ROWS(I$38:I39))),"")</f>
        <v/>
      </c>
      <c r="J39" s="175">
        <f>SUMPRODUCT((iecstage=4)*(iecstatus=0))</f>
        <v>1</v>
      </c>
      <c r="K39" s="178" t="str">
        <f t="array" ref="K39">IF(ROWS(K$38:K39)&lt;=$J$39,INDEX('INFORMATION, ÉDUCTION ET LA COM'!$C$5:$C$21,SMALL(IF(iecstage=4,IF(iecstatus=0,ROW(iecstatus)-ROW('INFORMATION, ÉDUCTION ET LA COM'!$E$5)+1)),ROWS(K$38:K39))),"")</f>
        <v/>
      </c>
      <c r="L39" s="173" t="str">
        <f t="array" ref="L39">IF(ROWS(L$38:L39)&lt;=$J$40,INDEX('INFORMATION, ÉDUCTION ET LA COM'!$C$5:$C$21,SMALL(IF(iecstage=4,IF(iecstatus=1,ROW(iecstatus)-ROW('INFORMATION, ÉDUCTION ET LA COM'!$E$5)+1)),ROWS(L$38:L39))),"")</f>
        <v/>
      </c>
      <c r="M39" s="179">
        <f>SUMPRODUCT((prevstage=4)*(prevstatus=0))</f>
        <v>3</v>
      </c>
      <c r="N39" s="176" t="str">
        <f t="array" ref="N39">IF(ROWS(N$38:N39)&lt;=$M$39,INDEX('PRÉVENTION ET DE CONTRÔLE'!$C$5:$C$29,SMALL(IF(prevstage=4,IF(prevstatus=0,ROW(prevstatus)-ROW('PRÉVENTION ET DE CONTRÔLE'!$E$5)+1)),ROWS(N$38:N39))),"")</f>
        <v>Prendre des mesures pour la prévention de la réintroduction de la rage dans les zones exemptes de rage, y compris le dialogue avec les pays voisins.</v>
      </c>
      <c r="O39" s="177" t="str">
        <f t="array" ref="O39">IF(ROWS(O$38:O39)&lt;=$M$40,INDEX('PRÉVENTION ET DE CONTRÔLE'!$C$5:$C$29,SMALL(IF(prevstage=4,IF(prevstatus=1,ROW(prevstatus)-ROW('PRÉVENTION ET DE CONTRÔLE'!$E$5)+1)),ROWS(O$38:O39))),"")</f>
        <v/>
      </c>
      <c r="P39" s="175" t="e">
        <f>SUMPRODUCT((dogstage=4)*(dogstatus=0))</f>
        <v>#REF!</v>
      </c>
      <c r="Q39" s="178" t="e">
        <f t="array" ref="Q39">IF(ROWS(Q$29:Q39)&lt;=$P$39,INDEX(#REF!,SMALL(IF(dogstage=4,IF(dogstatus=0,ROW(dogstatus)-ROW(#REF!)+1)),ROWS(Q$38:Q39))),"")</f>
        <v>#REF!</v>
      </c>
      <c r="R39" s="173" t="e">
        <f t="array" ref="R39">IF(ROWS(R$38:R39)&lt;=$P$40,INDEX(#REF!,SMALL(IF(dogstage=4,IF(dogstatus=1,ROW(dogstatus)-ROW(#REF!)+1)),ROWS(R$38:R39))),"")</f>
        <v>#REF!</v>
      </c>
      <c r="S39" s="175">
        <f>SUMPRODUCT((crossstage=4)*(crossstatus=0))</f>
        <v>1</v>
      </c>
      <c r="T39" s="176" t="str">
        <f t="array" ref="T39">IF(ROWS(T$38:T39)&lt;=$S$39,INDEX('QUESTIONS TRANSVERSALES'!$C$5:$C$16,SMALL(IF(crossstage=4,IF(crossstatus=0,ROW(crossstatus)-ROW('QUESTIONS TRANSVERSALES'!$E$5)+1)),ROWS(T$38:T39))),"")</f>
        <v/>
      </c>
      <c r="U39" s="177" t="str">
        <f t="array" ref="U39">IF(ROWS(U$38:U39)&lt;=$S$40,INDEX('QUESTIONS TRANSVERSALES'!$C$5:$C$16,SMALL(IF(crossstage=4,IF(crossstatus=1,ROW(crossstatus)-ROW('QUESTIONS TRANSVERSALES'!$E$5)+1)),ROWS(U$38:U39))),"")</f>
        <v/>
      </c>
      <c r="Z39" s="90"/>
    </row>
    <row r="40" spans="1:26" s="15" customFormat="1" ht="76.5" x14ac:dyDescent="0.25">
      <c r="A40" s="46">
        <f>SUMPRODUCT((STAGE=4)*(STATUS=1))</f>
        <v>0</v>
      </c>
      <c r="B40" s="178" t="str">
        <f t="array" ref="B40">IF(ROWS(B$38:B40)&lt;=$A$39,INDEX(LÉGISLATION!$C$5:$C$19,SMALL(IF(STAGE=4,IF(STATUS=0,ROW(STATUS)-ROW(LÉGISLATION!$E$5)+1)),ROWS(B$38:B40))),"")</f>
        <v/>
      </c>
      <c r="C40" s="173" t="str">
        <f t="array" ref="C40">IF(ROWS(C$38:C40)&lt;=$A$40,INDEX(LÉGISLATION!$C$5:$C$19,SMALL(IF(STAGE=4,IF(STATUS=1,ROW(STATUS)-ROW(LÉGISLATION!$E$5)+1)),ROWS(C$38:C40))),"")</f>
        <v/>
      </c>
      <c r="D40" s="174">
        <f>SUMPRODUCT((datastage=4)*(datastatus=1))</f>
        <v>1</v>
      </c>
      <c r="E40" s="178" t="str">
        <f t="array" ref="E40">IF(ROWS(E$38:E40)&lt;=$D$39,INDEX('COLLECTE DE DONNÉES ET ANALYSE'!$C$5:$C$22,SMALL(IF(datastage=4,IF(datastatus=0,ROW(datastatus)-ROW('COLLECTE DE DONNÉES ET ANALYSE'!$E$5)+1)),ROWS(E$38:E40))),"")</f>
        <v/>
      </c>
      <c r="F40" s="173" t="str">
        <f t="array" ref="F40">IF(ROWS(F$38:F40)&lt;=$D$40,INDEX('COLLECTE DE DONNÉES ET ANALYSE'!$C$5:$C$22,SMALL(IF(datastage=4,IF(datastatus=1,ROW(datastatus)-ROW('COLLECTE DE DONNÉES ET ANALYSE'!$E$5)+1)),ROWS(F$38:F40))),"")</f>
        <v/>
      </c>
      <c r="G40" s="175">
        <f>SUMPRODUCT((labstage=4)*(labstatus=1))</f>
        <v>1</v>
      </c>
      <c r="H40" s="176" t="str">
        <f t="array" ref="H40">IF(ROWS(H$38:H40)&lt;=$G$39,INDEX('DIAGNOSTIC DE LABORATOIRE'!$C$5:$C$15,SMALL(IF(labstage=4,IF(labstatus=0,ROW(labstatus)-ROW('DIAGNOSTIC DE LABORATOIRE'!$E$5)+1)),ROWS(H$38:H40))),"")</f>
        <v/>
      </c>
      <c r="I40" s="177" t="str">
        <f t="array" ref="I40">IF(ROWS(I$38:I40)&lt;=$G$40,INDEX('DIAGNOSTIC DE LABORATOIRE'!$C$5:$C$15,SMALL(IF(labstage=4,IF(labstatus=1,ROW(labstatus)-ROW('DIAGNOSTIC DE LABORATOIRE'!$F$5)+1)),ROWS(I$38:I40))),"")</f>
        <v/>
      </c>
      <c r="J40" s="175">
        <f>SUMPRODUCT((iecstage=4)*(iecstatus=1))</f>
        <v>1</v>
      </c>
      <c r="K40" s="178" t="str">
        <f t="array" ref="K40">IF(ROWS(K$38:K40)&lt;=$J$39,INDEX('INFORMATION, ÉDUCTION ET LA COM'!$C$5:$C$21,SMALL(IF(iecstage=4,IF(iecstatus=0,ROW(iecstatus)-ROW('INFORMATION, ÉDUCTION ET LA COM'!$E$5)+1)),ROWS(K$38:K40))),"")</f>
        <v/>
      </c>
      <c r="L40" s="173" t="str">
        <f t="array" ref="L40">IF(ROWS(L$38:L40)&lt;=$J$40,INDEX('INFORMATION, ÉDUCTION ET LA COM'!$C$5:$C$21,SMALL(IF(iecstage=4,IF(iecstatus=1,ROW(iecstatus)-ROW('INFORMATION, ÉDUCTION ET LA COM'!$E$5)+1)),ROWS(L$38:L40))),"")</f>
        <v/>
      </c>
      <c r="M40" s="179">
        <f>SUMPRODUCT((prevstage=4)*(prevstatus=1))</f>
        <v>1</v>
      </c>
      <c r="N40" s="176" t="str">
        <f t="array" ref="N40">IF(ROWS(N$38:N40)&lt;=$M$39,INDEX('PRÉVENTION ET DE CONTRÔLE'!$C$5:$C$29,SMALL(IF(prevstage=4,IF(prevstatus=0,ROW(prevstatus)-ROW('PRÉVENTION ET DE CONTRÔLE'!$E$5)+1)),ROWS(N$38:N40))),"")</f>
        <v>Intervention d'urgence / plan d'urgence pour tous les cas de rage animale impliquant une variante canine qui ont évolué pendant la préparation de la phase post-élimination</v>
      </c>
      <c r="O40" s="177" t="str">
        <f t="array" ref="O40">IF(ROWS(O$38:O40)&lt;=$M$40,INDEX('PRÉVENTION ET DE CONTRÔLE'!$C$5:$C$29,SMALL(IF(prevstage=4,IF(prevstatus=1,ROW(prevstatus)-ROW('PRÉVENTION ET DE CONTRÔLE'!$E$5)+1)),ROWS(O$38:O40))),"")</f>
        <v/>
      </c>
      <c r="P40" s="175" t="e">
        <f>SUMPRODUCT((dogstage=4)*(dogstatus=1))</f>
        <v>#REF!</v>
      </c>
      <c r="Q40" s="178" t="e">
        <f t="array" ref="Q40">IF(ROWS(Q$29:Q40)&lt;=$P$39,INDEX(#REF!,SMALL(IF(dogstage=4,IF(dogstatus=0,ROW(dogstatus)-ROW(#REF!)+1)),ROWS(Q$38:Q40))),"")</f>
        <v>#REF!</v>
      </c>
      <c r="R40" s="173" t="e">
        <f t="array" ref="R40">IF(ROWS(R$38:R40)&lt;=$P$40,INDEX(#REF!,SMALL(IF(dogstage=4,IF(dogstatus=1,ROW(dogstatus)-ROW(#REF!)+1)),ROWS(R$38:R40))),"")</f>
        <v>#REF!</v>
      </c>
      <c r="S40" s="175">
        <f>SUMPRODUCT((crossstage=4)*(crossstatus=1))</f>
        <v>0</v>
      </c>
      <c r="T40" s="176" t="str">
        <f t="array" ref="T40">IF(ROWS(T$38:T40)&lt;=$S$39,INDEX('QUESTIONS TRANSVERSALES'!$C$5:$C$16,SMALL(IF(crossstage=4,IF(crossstatus=0,ROW(crossstatus)-ROW('QUESTIONS TRANSVERSALES'!$E$5)+1)),ROWS(T$38:T40))),"")</f>
        <v/>
      </c>
      <c r="U40" s="177" t="str">
        <f t="array" ref="U40">IF(ROWS(U$38:U40)&lt;=$S$40,INDEX('QUESTIONS TRANSVERSALES'!$C$5:$C$16,SMALL(IF(crossstage=4,IF(crossstatus=1,ROW(crossstatus)-ROW('QUESTIONS TRANSVERSALES'!$E$5)+1)),ROWS(U$38:U40))),"")</f>
        <v/>
      </c>
      <c r="Z40" s="90"/>
    </row>
    <row r="41" spans="1:26" s="15" customFormat="1" x14ac:dyDescent="0.25">
      <c r="A41" s="47"/>
      <c r="B41" s="178" t="str">
        <f t="array" ref="B41">IF(ROWS(B$38:B41)&lt;=$A$39,INDEX(LÉGISLATION!$C$5:$C$19,SMALL(IF(STAGE=4,IF(STATUS=0,ROW(STATUS)-ROW(LÉGISLATION!$E$5)+1)),ROWS(B$38:B41))),"")</f>
        <v/>
      </c>
      <c r="C41" s="173" t="str">
        <f t="array" ref="C41">IF(ROWS(C$38:C41)&lt;=$A$40,INDEX(LÉGISLATION!$C$5:$C$19,SMALL(IF(STAGE=4,IF(STATUS=1,ROW(STATUS)-ROW(LÉGISLATION!$E$5)+1)),ROWS(C$38:C41))),"")</f>
        <v/>
      </c>
      <c r="D41" s="174"/>
      <c r="E41" s="178" t="str">
        <f t="array" ref="E41">IF(ROWS(E$38:E41)&lt;=$D$39,INDEX('COLLECTE DE DONNÉES ET ANALYSE'!$C$5:$C$22,SMALL(IF(datastage=4,IF(datastatus=0,ROW(datastatus)-ROW('COLLECTE DE DONNÉES ET ANALYSE'!$E$5)+1)),ROWS(E$38:E41))),"")</f>
        <v/>
      </c>
      <c r="F41" s="173" t="str">
        <f t="array" ref="F41">IF(ROWS(F$38:F41)&lt;=$D$40,INDEX('COLLECTE DE DONNÉES ET ANALYSE'!$C$5:$C$22,SMALL(IF(datastage=4,IF(datastatus=1,ROW(datastatus)-ROW('COLLECTE DE DONNÉES ET ANALYSE'!$E$5)+1)),ROWS(F$38:F41))),"")</f>
        <v/>
      </c>
      <c r="G41" s="175"/>
      <c r="H41" s="176" t="str">
        <f t="array" ref="H41">IF(ROWS(H$38:H41)&lt;=$G$39,INDEX('DIAGNOSTIC DE LABORATOIRE'!$C$5:$C$15,SMALL(IF(labstage=4,IF(labstatus=0,ROW(labstatus)-ROW('DIAGNOSTIC DE LABORATOIRE'!$E$5)+1)),ROWS(H$38:H41))),"")</f>
        <v/>
      </c>
      <c r="I41" s="177" t="str">
        <f t="array" ref="I41">IF(ROWS(I$38:I41)&lt;=$G$40,INDEX('DIAGNOSTIC DE LABORATOIRE'!$C$5:$C$15,SMALL(IF(labstage=4,IF(labstatus=1,ROW(labstatus)-ROW('DIAGNOSTIC DE LABORATOIRE'!$F$5)+1)),ROWS(I$38:I41))),"")</f>
        <v/>
      </c>
      <c r="J41" s="175"/>
      <c r="K41" s="178" t="str">
        <f t="array" ref="K41">IF(ROWS(K$38:K41)&lt;=$J$39,INDEX('INFORMATION, ÉDUCTION ET LA COM'!$C$5:$C$21,SMALL(IF(iecstage=4,IF(iecstatus=0,ROW(iecstatus)-ROW('INFORMATION, ÉDUCTION ET LA COM'!$E$5)+1)),ROWS(K$38:K41))),"")</f>
        <v/>
      </c>
      <c r="L41" s="173" t="str">
        <f t="array" ref="L41">IF(ROWS(L$38:L41)&lt;=$J$40,INDEX('INFORMATION, ÉDUCTION ET LA COM'!$C$5:$C$21,SMALL(IF(iecstage=4,IF(iecstatus=1,ROW(iecstatus)-ROW('INFORMATION, ÉDUCTION ET LA COM'!$E$5)+1)),ROWS(L$38:L41))),"")</f>
        <v/>
      </c>
      <c r="M41" s="179"/>
      <c r="N41" s="176" t="str">
        <f t="array" ref="N41">IF(ROWS(N$38:N41)&lt;=$M$39,INDEX('PRÉVENTION ET DE CONTRÔLE'!$C$5:$C$29,SMALL(IF(prevstage=4,IF(prevstatus=0,ROW(prevstatus)-ROW('PRÉVENTION ET DE CONTRÔLE'!$E$5)+1)),ROWS(N$38:N41))),"")</f>
        <v/>
      </c>
      <c r="O41" s="177" t="str">
        <f t="array" ref="O41">IF(ROWS(O$38:O41)&lt;=$M$40,INDEX('PRÉVENTION ET DE CONTRÔLE'!$C$5:$C$29,SMALL(IF(prevstage=4,IF(prevstatus=1,ROW(prevstatus)-ROW('PRÉVENTION ET DE CONTRÔLE'!$E$5)+1)),ROWS(O$38:O41))),"")</f>
        <v/>
      </c>
      <c r="P41" s="175"/>
      <c r="Q41" s="178" t="e">
        <f t="array" ref="Q41">IF(ROWS(Q$29:Q41)&lt;=$P$39,INDEX(#REF!,SMALL(IF(dogstage=4,IF(dogstatus=0,ROW(dogstatus)-ROW(#REF!)+1)),ROWS(Q$38:Q41))),"")</f>
        <v>#REF!</v>
      </c>
      <c r="R41" s="173" t="e">
        <f t="array" ref="R41">IF(ROWS(R$38:R41)&lt;=$P$40,INDEX(#REF!,SMALL(IF(dogstage=4,IF(dogstatus=1,ROW(dogstatus)-ROW(#REF!)+1)),ROWS(R$38:R41))),"")</f>
        <v>#REF!</v>
      </c>
      <c r="S41" s="175"/>
      <c r="T41" s="176" t="str">
        <f t="array" ref="T41">IF(ROWS(T$38:T41)&lt;=$S$39,INDEX('QUESTIONS TRANSVERSALES'!$C$5:$C$16,SMALL(IF(crossstage=4,IF(crossstatus=0,ROW(crossstatus)-ROW('QUESTIONS TRANSVERSALES'!$E$5)+1)),ROWS(T$38:T41))),"")</f>
        <v/>
      </c>
      <c r="U41" s="177" t="str">
        <f t="array" ref="U41">IF(ROWS(U$38:U41)&lt;=$S$40,INDEX('QUESTIONS TRANSVERSALES'!$C$5:$C$16,SMALL(IF(crossstage=4,IF(crossstatus=1,ROW(crossstatus)-ROW('QUESTIONS TRANSVERSALES'!$E$5)+1)),ROWS(U$38:U41))),"")</f>
        <v/>
      </c>
      <c r="Z41" s="90"/>
    </row>
    <row r="42" spans="1:26" s="15" customFormat="1" x14ac:dyDescent="0.25">
      <c r="A42" s="47"/>
      <c r="B42" s="178" t="str">
        <f t="array" ref="B42">IF(ROWS(B$38:B42)&lt;=$A$39,INDEX(LÉGISLATION!$C$5:$C$19,SMALL(IF(STAGE=4,IF(STATUS=0,ROW(STATUS)-ROW(LÉGISLATION!$E$5)+1)),ROWS(B$38:B42))),"")</f>
        <v/>
      </c>
      <c r="C42" s="173" t="str">
        <f t="array" ref="C42">IF(ROWS(C$38:C42)&lt;=$A$40,INDEX(LÉGISLATION!$C$5:$C$19,SMALL(IF(STAGE=4,IF(STATUS=1,ROW(STATUS)-ROW(LÉGISLATION!$E$5)+1)),ROWS(C$38:C42))),"")</f>
        <v/>
      </c>
      <c r="D42" s="174"/>
      <c r="E42" s="178" t="str">
        <f t="array" ref="E42">IF(ROWS(E$38:E42)&lt;=$D$39,INDEX('COLLECTE DE DONNÉES ET ANALYSE'!$C$5:$C$22,SMALL(IF(datastage=4,IF(datastatus=0,ROW(datastatus)-ROW('COLLECTE DE DONNÉES ET ANALYSE'!$E$5)+1)),ROWS(E$38:E42))),"")</f>
        <v/>
      </c>
      <c r="F42" s="173" t="str">
        <f t="array" ref="F42">IF(ROWS(F$38:F42)&lt;=$D$40,INDEX('COLLECTE DE DONNÉES ET ANALYSE'!$C$5:$C$22,SMALL(IF(datastage=4,IF(datastatus=1,ROW(datastatus)-ROW('COLLECTE DE DONNÉES ET ANALYSE'!$E$5)+1)),ROWS(F$38:F42))),"")</f>
        <v/>
      </c>
      <c r="G42" s="175"/>
      <c r="H42" s="176" t="str">
        <f t="array" ref="H42">IF(ROWS(H$38:H42)&lt;=$G$39,INDEX('DIAGNOSTIC DE LABORATOIRE'!$C$5:$C$15,SMALL(IF(labstage=4,IF(labstatus=0,ROW(labstatus)-ROW('DIAGNOSTIC DE LABORATOIRE'!$E$5)+1)),ROWS(H$38:H42))),"")</f>
        <v/>
      </c>
      <c r="I42" s="177" t="str">
        <f t="array" ref="I42">IF(ROWS(I$38:I42)&lt;=$G$40,INDEX('DIAGNOSTIC DE LABORATOIRE'!$C$5:$C$15,SMALL(IF(labstage=4,IF(labstatus=1,ROW(labstatus)-ROW('DIAGNOSTIC DE LABORATOIRE'!$F$5)+1)),ROWS(I$38:I42))),"")</f>
        <v/>
      </c>
      <c r="J42" s="175"/>
      <c r="K42" s="178" t="str">
        <f t="array" ref="K42">IF(ROWS(K$38:K42)&lt;=$J$39,INDEX('INFORMATION, ÉDUCTION ET LA COM'!$C$5:$C$21,SMALL(IF(iecstage=4,IF(iecstatus=0,ROW(iecstatus)-ROW('INFORMATION, ÉDUCTION ET LA COM'!$E$5)+1)),ROWS(K$38:K42))),"")</f>
        <v/>
      </c>
      <c r="L42" s="173" t="str">
        <f t="array" ref="L42">IF(ROWS(L$38:L42)&lt;=$J$40,INDEX('INFORMATION, ÉDUCTION ET LA COM'!$C$5:$C$21,SMALL(IF(iecstage=4,IF(iecstatus=1,ROW(iecstatus)-ROW('INFORMATION, ÉDUCTION ET LA COM'!$E$5)+1)),ROWS(L$38:L42))),"")</f>
        <v/>
      </c>
      <c r="M42" s="179"/>
      <c r="N42" s="176" t="str">
        <f t="array" ref="N42">IF(ROWS(N$38:N42)&lt;=$M$39,INDEX('PRÉVENTION ET DE CONTRÔLE'!$C$5:$C$29,SMALL(IF(prevstage=4,IF(prevstatus=0,ROW(prevstatus)-ROW('PRÉVENTION ET DE CONTRÔLE'!$E$5)+1)),ROWS(N$38:N42))),"")</f>
        <v/>
      </c>
      <c r="O42" s="177" t="str">
        <f t="array" ref="O42">IF(ROWS(O$38:O42)&lt;=$M$40,INDEX('PRÉVENTION ET DE CONTRÔLE'!$C$5:$C$29,SMALL(IF(prevstage=4,IF(prevstatus=1,ROW(prevstatus)-ROW('PRÉVENTION ET DE CONTRÔLE'!$E$5)+1)),ROWS(O$38:O42))),"")</f>
        <v/>
      </c>
      <c r="P42" s="175"/>
      <c r="Q42" s="178" t="e">
        <f t="array" ref="Q42">IF(ROWS(Q$29:Q42)&lt;=$P$39,INDEX(#REF!,SMALL(IF(dogstage=4,IF(dogstatus=0,ROW(dogstatus)-ROW(#REF!)+1)),ROWS(Q$38:Q42))),"")</f>
        <v>#REF!</v>
      </c>
      <c r="R42" s="173" t="e">
        <f t="array" ref="R42">IF(ROWS(R$38:R42)&lt;=$P$40,INDEX(#REF!,SMALL(IF(dogstage=4,IF(dogstatus=1,ROW(dogstatus)-ROW(#REF!)+1)),ROWS(R$38:R42))),"")</f>
        <v>#REF!</v>
      </c>
      <c r="S42" s="175"/>
      <c r="T42" s="176" t="str">
        <f t="array" ref="T42">IF(ROWS(T$38:T42)&lt;=$S$39,INDEX('QUESTIONS TRANSVERSALES'!$C$5:$C$16,SMALL(IF(crossstage=4,IF(crossstatus=0,ROW(crossstatus)-ROW('QUESTIONS TRANSVERSALES'!$E$5)+1)),ROWS(T$38:T42))),"")</f>
        <v/>
      </c>
      <c r="U42" s="177" t="str">
        <f t="array" ref="U42">IF(ROWS(U$38:U42)&lt;=$S$40,INDEX('QUESTIONS TRANSVERSALES'!$C$5:$C$16,SMALL(IF(crossstage=4,IF(crossstatus=1,ROW(crossstatus)-ROW('QUESTIONS TRANSVERSALES'!$E$5)+1)),ROWS(U$38:U42))),"")</f>
        <v/>
      </c>
      <c r="Z42" s="90"/>
    </row>
    <row r="43" spans="1:26" s="15" customFormat="1" x14ac:dyDescent="0.25">
      <c r="A43" s="47"/>
      <c r="B43" s="178" t="str">
        <f t="array" ref="B43">IF(ROWS(B$38:B43)&lt;=$A$39,INDEX(LÉGISLATION!$C$5:$C$19,SMALL(IF(STAGE=4,IF(STATUS=0,ROW(STATUS)-ROW(LÉGISLATION!$E$5)+1)),ROWS(B$38:B43))),"")</f>
        <v/>
      </c>
      <c r="C43" s="173" t="str">
        <f t="array" ref="C43">IF(ROWS(C$38:C43)&lt;=$A$40,INDEX(LÉGISLATION!$C$5:$C$19,SMALL(IF(STAGE=4,IF(STATUS=1,ROW(STATUS)-ROW(LÉGISLATION!$E$5)+1)),ROWS(C$38:C43))),"")</f>
        <v/>
      </c>
      <c r="D43" s="174"/>
      <c r="E43" s="178" t="str">
        <f t="array" ref="E43">IF(ROWS(E$38:E43)&lt;=$D$39,INDEX('COLLECTE DE DONNÉES ET ANALYSE'!$C$5:$C$22,SMALL(IF(datastage=4,IF(datastatus=0,ROW(datastatus)-ROW('COLLECTE DE DONNÉES ET ANALYSE'!$E$5)+1)),ROWS(E$38:E43))),"")</f>
        <v/>
      </c>
      <c r="F43" s="173" t="str">
        <f t="array" ref="F43">IF(ROWS(F$38:F43)&lt;=$D$40,INDEX('COLLECTE DE DONNÉES ET ANALYSE'!$C$5:$C$22,SMALL(IF(datastage=4,IF(datastatus=1,ROW(datastatus)-ROW('COLLECTE DE DONNÉES ET ANALYSE'!$E$5)+1)),ROWS(F$38:F43))),"")</f>
        <v/>
      </c>
      <c r="G43" s="175"/>
      <c r="H43" s="176" t="str">
        <f t="array" ref="H43">IF(ROWS(H$38:H43)&lt;=$G$39,INDEX('DIAGNOSTIC DE LABORATOIRE'!$C$5:$C$15,SMALL(IF(labstage=4,IF(labstatus=0,ROW(labstatus)-ROW('DIAGNOSTIC DE LABORATOIRE'!$E$5)+1)),ROWS(H$38:H43))),"")</f>
        <v/>
      </c>
      <c r="I43" s="177" t="str">
        <f t="array" ref="I43">IF(ROWS(I$38:I43)&lt;=$G$40,INDEX('DIAGNOSTIC DE LABORATOIRE'!$C$5:$C$15,SMALL(IF(labstage=4,IF(labstatus=1,ROW(labstatus)-ROW('DIAGNOSTIC DE LABORATOIRE'!$F$5)+1)),ROWS(I$38:I43))),"")</f>
        <v/>
      </c>
      <c r="J43" s="175"/>
      <c r="K43" s="178" t="str">
        <f t="array" ref="K43">IF(ROWS(K$38:K43)&lt;=$J$39,INDEX('INFORMATION, ÉDUCTION ET LA COM'!$C$5:$C$21,SMALL(IF(iecstage=4,IF(iecstatus=0,ROW(iecstatus)-ROW('INFORMATION, ÉDUCTION ET LA COM'!$E$5)+1)),ROWS(K$38:K43))),"")</f>
        <v/>
      </c>
      <c r="L43" s="173" t="str">
        <f t="array" ref="L43">IF(ROWS(L$38:L43)&lt;=$J$40,INDEX('INFORMATION, ÉDUCTION ET LA COM'!$C$5:$C$21,SMALL(IF(iecstage=4,IF(iecstatus=1,ROW(iecstatus)-ROW('INFORMATION, ÉDUCTION ET LA COM'!$E$5)+1)),ROWS(L$38:L43))),"")</f>
        <v/>
      </c>
      <c r="M43" s="179"/>
      <c r="N43" s="176" t="str">
        <f t="array" ref="N43">IF(ROWS(N$38:N43)&lt;=$M$39,INDEX('PRÉVENTION ET DE CONTRÔLE'!$C$5:$C$29,SMALL(IF(prevstage=4,IF(prevstatus=0,ROW(prevstatus)-ROW('PRÉVENTION ET DE CONTRÔLE'!$E$5)+1)),ROWS(N$38:N43))),"")</f>
        <v/>
      </c>
      <c r="O43" s="177" t="str">
        <f t="array" ref="O43">IF(ROWS(O$38:O43)&lt;=$M$40,INDEX('PRÉVENTION ET DE CONTRÔLE'!$C$5:$C$29,SMALL(IF(prevstage=4,IF(prevstatus=1,ROW(prevstatus)-ROW('PRÉVENTION ET DE CONTRÔLE'!$E$5)+1)),ROWS(O$38:O43))),"")</f>
        <v/>
      </c>
      <c r="P43" s="175"/>
      <c r="Q43" s="178" t="e">
        <f t="array" ref="Q43">IF(ROWS(Q$29:Q43)&lt;=$P$39,INDEX(#REF!,SMALL(IF(dogstage=4,IF(dogstatus=0,ROW(dogstatus)-ROW(#REF!)+1)),ROWS(Q$38:Q43))),"")</f>
        <v>#REF!</v>
      </c>
      <c r="R43" s="173" t="e">
        <f t="array" ref="R43">IF(ROWS(R$38:R43)&lt;=$P$40,INDEX(#REF!,SMALL(IF(dogstage=4,IF(dogstatus=1,ROW(dogstatus)-ROW(#REF!)+1)),ROWS(R$38:R43))),"")</f>
        <v>#REF!</v>
      </c>
      <c r="S43" s="175"/>
      <c r="T43" s="176" t="str">
        <f t="array" ref="T43">IF(ROWS(T$38:T43)&lt;=$S$39,INDEX('QUESTIONS TRANSVERSALES'!$C$5:$C$16,SMALL(IF(crossstage=4,IF(crossstatus=0,ROW(crossstatus)-ROW('QUESTIONS TRANSVERSALES'!$E$5)+1)),ROWS(T$38:T43))),"")</f>
        <v/>
      </c>
      <c r="U43" s="177" t="str">
        <f t="array" ref="U43">IF(ROWS(U$38:U43)&lt;=$S$40,INDEX('QUESTIONS TRANSVERSALES'!$C$5:$C$16,SMALL(IF(crossstage=4,IF(crossstatus=1,ROW(crossstatus)-ROW('QUESTIONS TRANSVERSALES'!$E$5)+1)),ROWS(U$38:U43))),"")</f>
        <v/>
      </c>
      <c r="Z43" s="90"/>
    </row>
    <row r="44" spans="1:26" s="15" customFormat="1" x14ac:dyDescent="0.25">
      <c r="A44" s="47"/>
      <c r="B44" s="178" t="str">
        <f t="array" ref="B44">IF(ROWS(B$38:B44)&lt;=$A$39,INDEX(LÉGISLATION!$C$5:$C$19,SMALL(IF(STAGE=4,IF(STATUS=0,ROW(STATUS)-ROW(LÉGISLATION!$E$5)+1)),ROWS(B$38:B44))),"")</f>
        <v/>
      </c>
      <c r="C44" s="173" t="str">
        <f t="array" ref="C44">IF(ROWS(C$38:C44)&lt;=$A$40,INDEX(LÉGISLATION!$C$5:$C$19,SMALL(IF(STAGE=4,IF(STATUS=1,ROW(STATUS)-ROW(LÉGISLATION!$E$5)+1)),ROWS(C$38:C44))),"")</f>
        <v/>
      </c>
      <c r="D44" s="174"/>
      <c r="E44" s="178" t="str">
        <f t="array" ref="E44">IF(ROWS(E$38:E44)&lt;=$D$39,INDEX('COLLECTE DE DONNÉES ET ANALYSE'!$C$5:$C$22,SMALL(IF(datastage=4,IF(datastatus=0,ROW(datastatus)-ROW('COLLECTE DE DONNÉES ET ANALYSE'!$E$5)+1)),ROWS(E$38:E44))),"")</f>
        <v/>
      </c>
      <c r="F44" s="173" t="str">
        <f t="array" ref="F44">IF(ROWS(F$38:F44)&lt;=$D$40,INDEX('COLLECTE DE DONNÉES ET ANALYSE'!$C$5:$C$22,SMALL(IF(datastage=4,IF(datastatus=1,ROW(datastatus)-ROW('COLLECTE DE DONNÉES ET ANALYSE'!$E$5)+1)),ROWS(F$38:F44))),"")</f>
        <v/>
      </c>
      <c r="G44" s="175"/>
      <c r="H44" s="176" t="str">
        <f t="array" ref="H44">IF(ROWS(H$38:H44)&lt;=$G$39,INDEX('DIAGNOSTIC DE LABORATOIRE'!$C$5:$C$15,SMALL(IF(labstage=4,IF(labstatus=0,ROW(labstatus)-ROW('DIAGNOSTIC DE LABORATOIRE'!$E$5)+1)),ROWS(H$38:H44))),"")</f>
        <v/>
      </c>
      <c r="I44" s="177" t="str">
        <f t="array" ref="I44">IF(ROWS(I$38:I44)&lt;=$G$40,INDEX('DIAGNOSTIC DE LABORATOIRE'!$C$5:$C$15,SMALL(IF(labstage=4,IF(labstatus=1,ROW(labstatus)-ROW('DIAGNOSTIC DE LABORATOIRE'!$F$5)+1)),ROWS(I$38:I44))),"")</f>
        <v/>
      </c>
      <c r="J44" s="175"/>
      <c r="K44" s="178" t="str">
        <f t="array" ref="K44">IF(ROWS(K$38:K44)&lt;=$J$39,INDEX('INFORMATION, ÉDUCTION ET LA COM'!$C$5:$C$21,SMALL(IF(iecstage=4,IF(iecstatus=0,ROW(iecstatus)-ROW('INFORMATION, ÉDUCTION ET LA COM'!$E$5)+1)),ROWS(K$38:K44))),"")</f>
        <v/>
      </c>
      <c r="L44" s="173" t="str">
        <f t="array" ref="L44">IF(ROWS(L$38:L44)&lt;=$J$40,INDEX('INFORMATION, ÉDUCTION ET LA COM'!$C$5:$C$21,SMALL(IF(iecstage=4,IF(iecstatus=1,ROW(iecstatus)-ROW('INFORMATION, ÉDUCTION ET LA COM'!$E$5)+1)),ROWS(L$38:L44))),"")</f>
        <v/>
      </c>
      <c r="M44" s="179"/>
      <c r="N44" s="176" t="str">
        <f t="array" ref="N44">IF(ROWS(N$38:N44)&lt;=$M$39,INDEX('PRÉVENTION ET DE CONTRÔLE'!$C$5:$C$29,SMALL(IF(prevstage=4,IF(prevstatus=0,ROW(prevstatus)-ROW('PRÉVENTION ET DE CONTRÔLE'!$E$5)+1)),ROWS(N$38:N44))),"")</f>
        <v/>
      </c>
      <c r="O44" s="177" t="str">
        <f t="array" ref="O44">IF(ROWS(O$38:O44)&lt;=$M$40,INDEX('PRÉVENTION ET DE CONTRÔLE'!$C$5:$C$29,SMALL(IF(prevstage=4,IF(prevstatus=1,ROW(prevstatus)-ROW('PRÉVENTION ET DE CONTRÔLE'!$E$5)+1)),ROWS(O$38:O44))),"")</f>
        <v/>
      </c>
      <c r="P44" s="175"/>
      <c r="Q44" s="178" t="e">
        <f t="array" ref="Q44">IF(ROWS(Q$29:Q44)&lt;=$P$39,INDEX(#REF!,SMALL(IF(dogstage=4,IF(dogstatus=0,ROW(dogstatus)-ROW(#REF!)+1)),ROWS(Q$38:Q44))),"")</f>
        <v>#REF!</v>
      </c>
      <c r="R44" s="173" t="e">
        <f t="array" ref="R44">IF(ROWS(R$38:R44)&lt;=$P$40,INDEX(#REF!,SMALL(IF(dogstage=4,IF(dogstatus=1,ROW(dogstatus)-ROW(#REF!)+1)),ROWS(R$38:R44))),"")</f>
        <v>#REF!</v>
      </c>
      <c r="S44" s="175"/>
      <c r="T44" s="176" t="str">
        <f t="array" ref="T44">IF(ROWS(T$38:T44)&lt;=$S$39,INDEX('QUESTIONS TRANSVERSALES'!$C$5:$C$16,SMALL(IF(crossstage=4,IF(crossstatus=0,ROW(crossstatus)-ROW('QUESTIONS TRANSVERSALES'!$E$5)+1)),ROWS(T$38:T44))),"")</f>
        <v/>
      </c>
      <c r="U44" s="177" t="str">
        <f t="array" ref="U44">IF(ROWS(U$38:U44)&lt;=$S$40,INDEX('QUESTIONS TRANSVERSALES'!$C$5:$C$16,SMALL(IF(crossstage=4,IF(crossstatus=1,ROW(crossstatus)-ROW('QUESTIONS TRANSVERSALES'!$E$5)+1)),ROWS(U$38:U44))),"")</f>
        <v/>
      </c>
      <c r="Z44" s="90"/>
    </row>
    <row r="45" spans="1:26" s="15" customFormat="1" x14ac:dyDescent="0.25">
      <c r="A45" s="47"/>
      <c r="B45" s="178" t="str">
        <f t="array" ref="B45">IF(ROWS(B$38:B45)&lt;=$A$39,INDEX(LÉGISLATION!$C$5:$C$19,SMALL(IF(STAGE=4,IF(STATUS=0,ROW(STATUS)-ROW(LÉGISLATION!$E$5)+1)),ROWS(B$38:B45))),"")</f>
        <v/>
      </c>
      <c r="C45" s="173" t="str">
        <f t="array" ref="C45">IF(ROWS(C$38:C45)&lt;=$A$40,INDEX(LÉGISLATION!$C$5:$C$19,SMALL(IF(STAGE=4,IF(STATUS=1,ROW(STATUS)-ROW(LÉGISLATION!$E$5)+1)),ROWS(C$38:C45))),"")</f>
        <v/>
      </c>
      <c r="D45" s="174"/>
      <c r="E45" s="178" t="str">
        <f t="array" ref="E45">IF(ROWS(E$38:E45)&lt;=$D$39,INDEX('COLLECTE DE DONNÉES ET ANALYSE'!$C$5:$C$22,SMALL(IF(datastage=4,IF(datastatus=0,ROW(datastatus)-ROW('COLLECTE DE DONNÉES ET ANALYSE'!$E$5)+1)),ROWS(E$38:E45))),"")</f>
        <v/>
      </c>
      <c r="F45" s="173" t="str">
        <f t="array" ref="F45">IF(ROWS(F$38:F45)&lt;=$D$40,INDEX('COLLECTE DE DONNÉES ET ANALYSE'!$C$5:$C$22,SMALL(IF(datastage=4,IF(datastatus=1,ROW(datastatus)-ROW('COLLECTE DE DONNÉES ET ANALYSE'!$E$5)+1)),ROWS(F$38:F45))),"")</f>
        <v/>
      </c>
      <c r="G45" s="175"/>
      <c r="H45" s="176" t="str">
        <f t="array" ref="H45">IF(ROWS(H$38:H45)&lt;=$G$39,INDEX('DIAGNOSTIC DE LABORATOIRE'!$C$5:$C$15,SMALL(IF(labstage=4,IF(labstatus=0,ROW(labstatus)-ROW('DIAGNOSTIC DE LABORATOIRE'!$E$5)+1)),ROWS(H$38:H45))),"")</f>
        <v/>
      </c>
      <c r="I45" s="177" t="str">
        <f t="array" ref="I45">IF(ROWS(I$38:I45)&lt;=$G$40,INDEX('DIAGNOSTIC DE LABORATOIRE'!$C$5:$C$15,SMALL(IF(labstage=4,IF(labstatus=1,ROW(labstatus)-ROW('DIAGNOSTIC DE LABORATOIRE'!$F$5)+1)),ROWS(I$38:I45))),"")</f>
        <v/>
      </c>
      <c r="J45" s="175"/>
      <c r="K45" s="178" t="str">
        <f t="array" ref="K45">IF(ROWS(K$38:K45)&lt;=$J$39,INDEX('INFORMATION, ÉDUCTION ET LA COM'!$C$5:$C$21,SMALL(IF(iecstage=4,IF(iecstatus=0,ROW(iecstatus)-ROW('INFORMATION, ÉDUCTION ET LA COM'!$E$5)+1)),ROWS(K$38:K45))),"")</f>
        <v/>
      </c>
      <c r="L45" s="173" t="str">
        <f t="array" ref="L45">IF(ROWS(L$38:L45)&lt;=$J$40,INDEX('INFORMATION, ÉDUCTION ET LA COM'!$C$5:$C$21,SMALL(IF(iecstage=4,IF(iecstatus=1,ROW(iecstatus)-ROW('INFORMATION, ÉDUCTION ET LA COM'!$E$5)+1)),ROWS(L$38:L45))),"")</f>
        <v/>
      </c>
      <c r="M45" s="179"/>
      <c r="N45" s="176" t="str">
        <f t="array" ref="N45">IF(ROWS(N$38:N45)&lt;=$M$39,INDEX('PRÉVENTION ET DE CONTRÔLE'!$C$5:$C$29,SMALL(IF(prevstage=4,IF(prevstatus=0,ROW(prevstatus)-ROW('PRÉVENTION ET DE CONTRÔLE'!$E$5)+1)),ROWS(N$38:N45))),"")</f>
        <v/>
      </c>
      <c r="O45" s="177" t="str">
        <f t="array" ref="O45">IF(ROWS(O$38:O45)&lt;=$M$40,INDEX('PRÉVENTION ET DE CONTRÔLE'!$C$5:$C$29,SMALL(IF(prevstage=4,IF(prevstatus=1,ROW(prevstatus)-ROW('PRÉVENTION ET DE CONTRÔLE'!$E$5)+1)),ROWS(O$38:O45))),"")</f>
        <v/>
      </c>
      <c r="P45" s="175"/>
      <c r="Q45" s="178" t="e">
        <f t="array" ref="Q45">IF(ROWS(Q$29:Q45)&lt;=$P$39,INDEX(#REF!,SMALL(IF(dogstage=4,IF(dogstatus=0,ROW(dogstatus)-ROW(#REF!)+1)),ROWS(Q$38:Q45))),"")</f>
        <v>#REF!</v>
      </c>
      <c r="R45" s="173" t="e">
        <f t="array" ref="R45">IF(ROWS(R$38:R45)&lt;=$P$40,INDEX(#REF!,SMALL(IF(dogstage=4,IF(dogstatus=1,ROW(dogstatus)-ROW(#REF!)+1)),ROWS(R$38:R45))),"")</f>
        <v>#REF!</v>
      </c>
      <c r="S45" s="175"/>
      <c r="T45" s="176" t="str">
        <f t="array" ref="T45">IF(ROWS(T$38:T45)&lt;=$S$39,INDEX('QUESTIONS TRANSVERSALES'!$C$5:$C$16,SMALL(IF(crossstage=4,IF(crossstatus=0,ROW(crossstatus)-ROW('QUESTIONS TRANSVERSALES'!$E$5)+1)),ROWS(T$38:T45))),"")</f>
        <v/>
      </c>
      <c r="U45" s="177" t="str">
        <f t="array" ref="U45">IF(ROWS(U$38:U45)&lt;=$S$40,INDEX('QUESTIONS TRANSVERSALES'!$C$5:$C$16,SMALL(IF(crossstage=4,IF(crossstatus=1,ROW(crossstatus)-ROW('QUESTIONS TRANSVERSALES'!$E$5)+1)),ROWS(U$38:U45))),"")</f>
        <v/>
      </c>
      <c r="Z45" s="90"/>
    </row>
    <row r="46" spans="1:26" s="15" customFormat="1" x14ac:dyDescent="0.25">
      <c r="A46" s="48"/>
      <c r="B46" s="180" t="str">
        <f t="array" ref="B46">IF(ROWS(B$38:B46)&lt;=$A$39,INDEX(LÉGISLATION!$C$5:$C$19,SMALL(IF(STAGE=4,IF(STATUS=0,ROW(STATUS)-ROW(LÉGISLATION!$E$5)+1)),ROWS(B$38:B46))),"")</f>
        <v/>
      </c>
      <c r="C46" s="181" t="str">
        <f t="array" ref="C46">IF(ROWS(C$38:C46)&lt;=$A$40,INDEX(LÉGISLATION!$C$5:$C$19,SMALL(IF(STAGE=4,IF(STATUS=1,ROW(STATUS)-ROW(LÉGISLATION!$E$5)+1)),ROWS(C$38:C46))),"")</f>
        <v/>
      </c>
      <c r="D46" s="182"/>
      <c r="E46" s="180" t="str">
        <f t="array" ref="E46">IF(ROWS(E$38:E46)&lt;=$D$39,INDEX('COLLECTE DE DONNÉES ET ANALYSE'!$C$5:$C$22,SMALL(IF(datastage=4,IF(datastatus=0,ROW(datastatus)-ROW('COLLECTE DE DONNÉES ET ANALYSE'!$E$5)+1)),ROWS(E$38:E46))),"")</f>
        <v/>
      </c>
      <c r="F46" s="181" t="str">
        <f t="array" ref="F46">IF(ROWS(F$38:F46)&lt;=$D$40,INDEX('COLLECTE DE DONNÉES ET ANALYSE'!$C$5:$C$22,SMALL(IF(datastage=4,IF(datastatus=1,ROW(datastatus)-ROW('COLLECTE DE DONNÉES ET ANALYSE'!$E$5)+1)),ROWS(F$38:F46))),"")</f>
        <v/>
      </c>
      <c r="G46" s="183"/>
      <c r="H46" s="184" t="str">
        <f t="array" ref="H46">IF(ROWS(H$38:H46)&lt;=$G$39,INDEX('DIAGNOSTIC DE LABORATOIRE'!$C$5:$C$15,SMALL(IF(labstage=4,IF(labstatus=0,ROW(labstatus)-ROW('DIAGNOSTIC DE LABORATOIRE'!$E$5)+1)),ROWS(H$38:H46))),"")</f>
        <v/>
      </c>
      <c r="I46" s="185" t="str">
        <f t="array" ref="I46">IF(ROWS(I$38:I46)&lt;=$G$40,INDEX('DIAGNOSTIC DE LABORATOIRE'!$C$5:$C$15,SMALL(IF(labstage=4,IF(labstatus=1,ROW(labstatus)-ROW('DIAGNOSTIC DE LABORATOIRE'!$F$5)+1)),ROWS(I$38:I46))),"")</f>
        <v/>
      </c>
      <c r="J46" s="183"/>
      <c r="K46" s="180" t="str">
        <f t="array" ref="K46">IF(ROWS(K$38:K46)&lt;=$J$39,INDEX('INFORMATION, ÉDUCTION ET LA COM'!$C$5:$C$21,SMALL(IF(iecstage=4,IF(iecstatus=0,ROW(iecstatus)-ROW('INFORMATION, ÉDUCTION ET LA COM'!$E$5)+1)),ROWS(K$38:K46))),"")</f>
        <v/>
      </c>
      <c r="L46" s="181" t="str">
        <f t="array" ref="L46">IF(ROWS(L$38:L46)&lt;=$J$40,INDEX('INFORMATION, ÉDUCTION ET LA COM'!$C$5:$C$21,SMALL(IF(iecstage=4,IF(iecstatus=1,ROW(iecstatus)-ROW('INFORMATION, ÉDUCTION ET LA COM'!$E$5)+1)),ROWS(L$38:L46))),"")</f>
        <v/>
      </c>
      <c r="M46" s="186"/>
      <c r="N46" s="184" t="str">
        <f t="array" ref="N46">IF(ROWS(N$38:N46)&lt;=$M$39,INDEX('PRÉVENTION ET DE CONTRÔLE'!$C$5:$C$29,SMALL(IF(prevstage=4,IF(prevstatus=0,ROW(prevstatus)-ROW('PRÉVENTION ET DE CONTRÔLE'!$E$5)+1)),ROWS(N$38:N46))),"")</f>
        <v/>
      </c>
      <c r="O46" s="185" t="str">
        <f t="array" ref="O46">IF(ROWS(O$38:O46)&lt;=$M$40,INDEX('PRÉVENTION ET DE CONTRÔLE'!$C$5:$C$29,SMALL(IF(prevstage=4,IF(prevstatus=1,ROW(prevstatus)-ROW('PRÉVENTION ET DE CONTRÔLE'!$E$5)+1)),ROWS(O$38:O46))),"")</f>
        <v/>
      </c>
      <c r="P46" s="183"/>
      <c r="Q46" s="180" t="e">
        <f t="array" ref="Q46">IF(ROWS(Q$29:Q46)&lt;=$P$39,INDEX(#REF!,SMALL(IF(dogstage=4,IF(dogstatus=0,ROW(dogstatus)-ROW(#REF!)+1)),ROWS(Q$38:Q46))),"")</f>
        <v>#REF!</v>
      </c>
      <c r="R46" s="181" t="e">
        <f t="array" ref="R46">IF(ROWS(R$38:R46)&lt;=$P$40,INDEX(#REF!,SMALL(IF(dogstage=4,IF(dogstatus=1,ROW(dogstatus)-ROW(#REF!)+1)),ROWS(R$38:R46))),"")</f>
        <v>#REF!</v>
      </c>
      <c r="S46" s="183"/>
      <c r="T46" s="184" t="str">
        <f t="array" ref="T46">IF(ROWS(T$38:T46)&lt;=$S$39,INDEX('QUESTIONS TRANSVERSALES'!$C$5:$C$16,SMALL(IF(crossstage=4,IF(crossstatus=0,ROW(crossstatus)-ROW('QUESTIONS TRANSVERSALES'!$E$5)+1)),ROWS(T$38:T46))),"")</f>
        <v/>
      </c>
      <c r="U46" s="185" t="str">
        <f t="array" ref="U46">IF(ROWS(U$38:U46)&lt;=$S$40,INDEX('QUESTIONS TRANSVERSALES'!$C$5:$C$16,SMALL(IF(crossstage=4,IF(crossstatus=1,ROW(crossstatus)-ROW('QUESTIONS TRANSVERSALES'!$E$5)+1)),ROWS(U$38:U46))),"")</f>
        <v/>
      </c>
      <c r="Z46" s="90"/>
    </row>
    <row r="47" spans="1:26" s="15" customFormat="1" ht="63.75" x14ac:dyDescent="0.25">
      <c r="A47" s="54">
        <v>5</v>
      </c>
      <c r="B47" s="165" t="str">
        <f t="array" ref="B47">IF(ROWS(B$47:B47)&lt;=$A$48,INDEX(LÉGISLATION!$C$5:$C$19,SMALL(IF(STAGE=5,IF(STATUS=0,ROW(STATUS)-ROW(LÉGISLATION!$E$5)+1)),ROWS(B$47:B47))),"")</f>
        <v/>
      </c>
      <c r="C47" s="166" t="str">
        <f t="array" ref="C47">IF(ROWS(C$47:C47)&lt;=$A$49,INDEX(LÉGISLATION!$C$5:$C$19,SMALL(IF(STAGE=5,IF(STATUS=1,ROW(STATUS)-ROW(LÉGISLATION!$E$5)+1)),ROWS(C$47:C47))),"")</f>
        <v/>
      </c>
      <c r="D47" s="167"/>
      <c r="E47" s="169" t="str">
        <f t="array" ref="E47">IF(ROWS(E$47:E47)&lt;=$D$48,INDEX('COLLECTE DE DONNÉES ET ANALYSE'!$C$5:$C$22,SMALL(IF(datastage=5,IF(datastatus=0,ROW(datastatus)-ROW('COLLECTE DE DONNÉES ET ANALYSE'!$E$5)+1)),ROWS(E$47:E47))),"")</f>
        <v/>
      </c>
      <c r="F47" s="170" t="str">
        <f t="array" ref="F47">IF(ROWS(F$47:F47)&lt;=$D$49,INDEX('COLLECTE DE DONNÉES ET ANALYSE'!$C$5:$C$22,SMALL(IF(datastage=5,IF(datastatus=1,ROW(datastatus)-ROW('COLLECTE DE DONNÉES ET ANALYSE'!$E$5)+1)),ROWS(F$47:F47))),"")</f>
        <v>Maintien d’un système de surveillance pour la rage</v>
      </c>
      <c r="G47" s="168"/>
      <c r="H47" s="169" t="str">
        <f t="array" ref="H47">IF(ROWS(H$47:H47)&lt;=$G$48,INDEX('DIAGNOSTIC DE LABORATOIRE'!$C$5:$C$15,SMALL(IF(labstage=5,IF(labstatus=0,ROW(labstatus)-ROW('DIAGNOSTIC DE LABORATOIRE'!$E$5)+1)),ROWS(H$47:H47))),"")</f>
        <v/>
      </c>
      <c r="I47" s="170" t="str">
        <f t="array" ref="I47">IF(ROWS(I$47:I47)&lt;=$G$49,INDEX('DIAGNOSTIC DE LABORATOIRE'!$C$5:$C$15,SMALL(IF(labstage=5,IF(labstatus=1,ROW(labstatus)-ROW('DIAGNOSTIC DE LABORATOIRE'!$F$5)+1)),ROWS(I$47:I47))),"")</f>
        <v>Maintien des investigations de laboratoire de tous les cas suspects dans les espèces animales domestiques et sauvages dans le pays.</v>
      </c>
      <c r="J47" s="168"/>
      <c r="K47" s="165" t="str">
        <f t="array" ref="K47">IF(ROWS(K$47:K47)&lt;=$J$48,INDEX('INFORMATION, ÉDUCTION ET LA COM'!$C$5:$C$21,SMALL(IF(iecstage=5,IF(iecstatus=0,ROW(iecstatus)-ROW('INFORMATION, ÉDUCTION ET LA COM'!$E$5)+1)),ROWS(K$47:K47))),"")</f>
        <v>Continuation du management de la population canine et des campagnes  de sensibilisation des propriétaires de chien</v>
      </c>
      <c r="L47" s="166" t="str">
        <f t="array" ref="L47">IF(ROWS(L$47:L47)&lt;=$J$49,INDEX('INFORMATION, ÉDUCTION ET LA COM'!$C$5:$C$21,SMALL(IF(iecstage=5,IF(iecstatus=1,ROW(iecstatus)-ROW('INFORMATION, ÉDUCTION ET LA COM'!$E$5)+1)),ROWS(L$47:L47))),"")</f>
        <v/>
      </c>
      <c r="M47" s="171"/>
      <c r="N47" s="169" t="str">
        <f t="array" ref="N47">IF(ROWS(N$47:N47)&lt;=$M$48,INDEX('PRÉVENTION ET DE CONTRÔLE'!$C$5:$C$29,SMALL(IF(prevstage=5,IF(prevstatus=0,ROW(prevstatus)-ROW('PRÉVENTION ET DE CONTRÔLE'!$E$5)+1)),ROWS(N$47:N47))),"")</f>
        <v>Des protocoles modifiés pour l'administration de la PPE (Prophylaxie Post-Exposition) sont mis en œuvre pour les zones exemptes de rage</v>
      </c>
      <c r="O47" s="170" t="str">
        <f t="array" ref="O47">IF(ROWS(O$47:O47)&lt;=$M$49,INDEX('PRÉVENTION ET DE CONTRÔLE'!$C$5:$C$29,SMALL(IF(prevstage=5,IF(prevstatus=1,ROW(prevstatus)-ROW('PRÉVENTION ET DE CONTRÔLE'!$E$5)+1)),ROWS(O$47:O47))),"")</f>
        <v/>
      </c>
      <c r="P47" s="168"/>
      <c r="Q47" s="165" t="e">
        <f t="array" ref="Q47">IF(ROWS(Q$47:Q47)&lt;=$P$48,INDEX(#REF!,SMALL(IF(dogstage=5,IF(dogstatus=0,ROW(dogstatus)-ROW(#REF!)+1)),ROWS(Q$47:Q47))),"")</f>
        <v>#REF!</v>
      </c>
      <c r="R47" s="166" t="e">
        <f t="array" ref="R47">IF(ROWS(R$47:R47)&lt;=$P$49,INDEX(#REF!,SMALL(IF(dogstage=5,IF(dogstatus=1,ROW(dogstatus)-ROW(#REF!)+1)),ROWS(R$47:R47))),"")</f>
        <v>#REF!</v>
      </c>
      <c r="S47" s="168"/>
      <c r="T47" s="169" t="str">
        <f t="array" ref="T47">IF(ROWS(T$47:T47)&lt;=$S$48,INDEX('QUESTIONS TRANSVERSALES'!$C$5:$C$16,SMALL(IF(crossstage=5,IF(crossstatus=0,ROW(crossstatus)-ROW('QUESTIONS TRANSVERSALES'!$E$5)+1)),ROWS(T$47:T47))),"")</f>
        <v/>
      </c>
      <c r="U47" s="170" t="str">
        <f t="array" ref="U47">IF(ROWS(U$47:U47)&lt;=$S$49,INDEX('QUESTIONS TRANSVERSALES'!$C$5:$C$16,SMALL(IF(crossstage=5,IF(crossstatus=1,ROW(crossstatus)-ROW('QUESTIONS TRANSVERSALES'!$E$5)+1)),ROWS(U$47:U47))),"")</f>
        <v/>
      </c>
      <c r="Z47" s="93"/>
    </row>
    <row r="48" spans="1:26" s="15" customFormat="1" ht="51" x14ac:dyDescent="0.25">
      <c r="A48" s="49">
        <f>SUMPRODUCT((STAGE=5)*(STATUS=0))</f>
        <v>0</v>
      </c>
      <c r="B48" s="178" t="str">
        <f t="array" ref="B48">IF(ROWS(B$47:B48)&lt;=$A$48,INDEX(LÉGISLATION!$C$5:$C$19,SMALL(IF(STAGE=5,IF(STATUS=0,ROW(STATUS)-ROW(LÉGISLATION!$E$5)+1)),ROWS(B$47:B48))),"")</f>
        <v/>
      </c>
      <c r="C48" s="173" t="str">
        <f t="array" ref="C48">IF(ROWS(C$47:C48)&lt;=$A$49,INDEX(LÉGISLATION!$C$5:$C$19,SMALL(IF(STAGE=5,IF(STATUS=1,ROW(STATUS)-ROW(LÉGISLATION!$E$5)+1)),ROWS(C$47:C48))),"")</f>
        <v/>
      </c>
      <c r="D48" s="174">
        <f>SUMPRODUCT((datastage=5)*(datastatus=0))</f>
        <v>0</v>
      </c>
      <c r="E48" s="176" t="str">
        <f t="array" ref="E48">IF(ROWS(E$47:E48)&lt;=$D$48,INDEX('COLLECTE DE DONNÉES ET ANALYSE'!$C$5:$C$22,SMALL(IF(datastage=5,IF(datastatus=0,ROW(datastatus)-ROW('COLLECTE DE DONNÉES ET ANALYSE'!$E$5)+1)),ROWS(E$47:E48))),"")</f>
        <v/>
      </c>
      <c r="F48" s="177" t="str">
        <f t="array" ref="F48">IF(ROWS(F$47:F48)&lt;=$D$49,INDEX('COLLECTE DE DONNÉES ET ANALYSE'!$C$5:$C$22,SMALL(IF(datastage=5,IF(datastatus=1,ROW(datastatus)-ROW('COLLECTE DE DONNÉES ET ANALYSE'!$E$5)+1)),ROWS(F$47:F48))),"")</f>
        <v/>
      </c>
      <c r="G48" s="175">
        <f>SUMPRODUCT((labstage=5)*(labstatus=0))</f>
        <v>0</v>
      </c>
      <c r="H48" s="176" t="str">
        <f t="array" ref="H48">IF(ROWS(H$47:H48)&lt;=$G$48,INDEX('DIAGNOSTIC DE LABORATOIRE'!$C$5:$C$15,SMALL(IF(labstage=5,IF(labstatus=0,ROW(labstatus)-ROW('DIAGNOSTIC DE LABORATOIRE'!$E$5)+1)),ROWS(H$47:H48))),"")</f>
        <v/>
      </c>
      <c r="I48" s="177" t="str">
        <f t="array" ref="I48">IF(ROWS(I$47:I48)&lt;=$G$49,INDEX('DIAGNOSTIC DE LABORATOIRE'!$C$5:$C$15,SMALL(IF(labstage=5,IF(labstatus=1,ROW(labstatus)-ROW('DIAGNOSTIC DE LABORATOIRE'!$F$5)+1)),ROWS(I$47:I48))),"")</f>
        <v/>
      </c>
      <c r="J48" s="175">
        <f>SUMPRODUCT((iecstage=5)*(iecstatus=0))</f>
        <v>1</v>
      </c>
      <c r="K48" s="178" t="str">
        <f t="array" ref="K48">IF(ROWS(K$47:K48)&lt;=$J$48,INDEX('INFORMATION, ÉDUCTION ET LA COM'!$C$5:$C$21,SMALL(IF(iecstage=5,IF(iecstatus=0,ROW(iecstatus)-ROW('INFORMATION, ÉDUCTION ET LA COM'!$E$5)+1)),ROWS(K$47:K48))),"")</f>
        <v/>
      </c>
      <c r="L48" s="173" t="str">
        <f t="array" ref="L48">IF(ROWS(L$47:L48)&lt;=$J$49,INDEX('INFORMATION, ÉDUCTION ET LA COM'!$C$5:$C$21,SMALL(IF(iecstage=5,IF(iecstatus=1,ROW(iecstatus)-ROW('INFORMATION, ÉDUCTION ET LA COM'!$E$5)+1)),ROWS(L$47:L48))),"")</f>
        <v/>
      </c>
      <c r="M48" s="179">
        <f>SUMPRODUCT((prevstage=5)*(prevstatus=0))</f>
        <v>3</v>
      </c>
      <c r="N48" s="176" t="str">
        <f t="array" ref="N48">IF(ROWS(N$47:N48)&lt;=$M$48,INDEX('PRÉVENTION ET DE CONTRÔLE'!$C$5:$C$29,SMALL(IF(prevstage=5,IF(prevstatus=0,ROW(prevstatus)-ROW('PRÉVENTION ET DE CONTRÔLE'!$E$5)+1)),ROWS(N$47:N48))),"")</f>
        <v>Sur la base d'une évaluation des risques, des campagnes de vaccination des chiens sont maintenues si cela est justifié</v>
      </c>
      <c r="O48" s="177" t="str">
        <f t="array" ref="O48">IF(ROWS(O$47:O48)&lt;=$M$49,INDEX('PRÉVENTION ET DE CONTRÔLE'!$C$5:$C$29,SMALL(IF(prevstage=5,IF(prevstatus=1,ROW(prevstatus)-ROW('PRÉVENTION ET DE CONTRÔLE'!$E$5)+1)),ROWS(O$47:O48))),"")</f>
        <v/>
      </c>
      <c r="P48" s="175" t="e">
        <f>SUMPRODUCT((dogstage=5)*(dogstatus=0))</f>
        <v>#REF!</v>
      </c>
      <c r="Q48" s="178" t="e">
        <f t="array" ref="Q48">IF(ROWS(Q$47:Q48)&lt;=$P$48,INDEX(#REF!,SMALL(IF(dogstage=5,IF(dogstatus=0,ROW(dogstatus)-ROW(#REF!)+1)),ROWS(Q$47:Q48))),"")</f>
        <v>#REF!</v>
      </c>
      <c r="R48" s="173" t="e">
        <f t="array" ref="R48">IF(ROWS(R$47:R48)&lt;=$P$49,INDEX(#REF!,SMALL(IF(dogstage=5,IF(dogstatus=1,ROW(dogstatus)-ROW(#REF!)+1)),ROWS(R$47:R48))),"")</f>
        <v>#REF!</v>
      </c>
      <c r="S48" s="175">
        <f>SUMPRODUCT((crossstage=5)*(crossstatus=0))</f>
        <v>0</v>
      </c>
      <c r="T48" s="176" t="str">
        <f t="array" ref="T48">IF(ROWS(T$47:T48)&lt;=$S$48,INDEX('QUESTIONS TRANSVERSALES'!$C$5:$C$16,SMALL(IF(crossstage=5,IF(crossstatus=0,ROW(crossstatus)-ROW('QUESTIONS TRANSVERSALES'!$E$5)+1)),ROWS(T$47:T48))),"")</f>
        <v/>
      </c>
      <c r="U48" s="177" t="str">
        <f t="array" ref="U48">IF(ROWS(U$47:U48)&lt;=$S$49,INDEX('QUESTIONS TRANSVERSALES'!$C$5:$C$16,SMALL(IF(crossstage=5,IF(crossstatus=1,ROW(crossstatus)-ROW('QUESTIONS TRANSVERSALES'!$E$5)+1)),ROWS(U$47:U48))),"")</f>
        <v/>
      </c>
      <c r="Z48" s="93"/>
    </row>
    <row r="49" spans="1:26" s="15" customFormat="1" ht="38.25" x14ac:dyDescent="0.25">
      <c r="A49" s="49">
        <f>SUMPRODUCT((STAGE=5)*(STATUS=1))</f>
        <v>0</v>
      </c>
      <c r="B49" s="178" t="str">
        <f t="array" ref="B49">IF(ROWS(B$47:B49)&lt;=$A$48,INDEX(LÉGISLATION!$C$5:$C$19,SMALL(IF(STAGE=5,IF(STATUS=0,ROW(STATUS)-ROW(LÉGISLATION!$E$5)+1)),ROWS(B$47:B49))),"")</f>
        <v/>
      </c>
      <c r="C49" s="173" t="str">
        <f t="array" ref="C49">IF(ROWS(C$47:C49)&lt;=$A$49,INDEX(LÉGISLATION!$C$5:$C$19,SMALL(IF(STAGE=5,IF(STATUS=1,ROW(STATUS)-ROW(LÉGISLATION!$E$5)+1)),ROWS(C$47:C49))),"")</f>
        <v/>
      </c>
      <c r="D49" s="174">
        <f>SUMPRODUCT((datastage=5)*(datastatus=1))</f>
        <v>1</v>
      </c>
      <c r="E49" s="176" t="str">
        <f t="array" ref="E49">IF(ROWS(E$47:E49)&lt;=$D$48,INDEX('COLLECTE DE DONNÉES ET ANALYSE'!$C$5:$C$22,SMALL(IF(datastage=5,IF(datastatus=0,ROW(datastatus)-ROW('COLLECTE DE DONNÉES ET ANALYSE'!$E$5)+1)),ROWS(E$47:E49))),"")</f>
        <v/>
      </c>
      <c r="F49" s="177" t="str">
        <f t="array" ref="F49">IF(ROWS(F$47:F49)&lt;=$D$49,INDEX('COLLECTE DE DONNÉES ET ANALYSE'!$C$5:$C$22,SMALL(IF(datastage=5,IF(datastatus=1,ROW(datastatus)-ROW('COLLECTE DE DONNÉES ET ANALYSE'!$E$5)+1)),ROWS(F$47:F49))),"")</f>
        <v/>
      </c>
      <c r="G49" s="175">
        <f>SUMPRODUCT((labstage=5)*(labstatus=1))</f>
        <v>1</v>
      </c>
      <c r="H49" s="176" t="str">
        <f t="array" ref="H49">IF(ROWS(H$47:H49)&lt;=$G$48,INDEX('DIAGNOSTIC DE LABORATOIRE'!$C$5:$C$15,SMALL(IF(labstage=5,IF(labstatus=0,ROW(labstatus)-ROW('DIAGNOSTIC DE LABORATOIRE'!$E$5)+1)),ROWS(H$47:H49))),"")</f>
        <v/>
      </c>
      <c r="I49" s="177" t="str">
        <f t="array" ref="I49">IF(ROWS(I$47:I49)&lt;=$G$49,INDEX('DIAGNOSTIC DE LABORATOIRE'!$C$5:$C$15,SMALL(IF(labstage=5,IF(labstatus=1,ROW(labstatus)-ROW('DIAGNOSTIC DE LABORATOIRE'!$F$5)+1)),ROWS(I$47:I49))),"")</f>
        <v/>
      </c>
      <c r="J49" s="175">
        <f>SUMPRODUCT((iecstage=5)*(iecstatus=1))</f>
        <v>0</v>
      </c>
      <c r="K49" s="178" t="str">
        <f t="array" ref="K49">IF(ROWS(K$47:K49)&lt;=$J$48,INDEX('INFORMATION, ÉDUCTION ET LA COM'!$C$5:$C$21,SMALL(IF(iecstage=5,IF(iecstatus=0,ROW(iecstatus)-ROW('INFORMATION, ÉDUCTION ET LA COM'!$E$5)+1)),ROWS(K$47:K49))),"")</f>
        <v/>
      </c>
      <c r="L49" s="173" t="str">
        <f t="array" ref="L49">IF(ROWS(L$47:L49)&lt;=$J$49,INDEX('INFORMATION, ÉDUCTION ET LA COM'!$C$5:$C$21,SMALL(IF(iecstage=5,IF(iecstatus=1,ROW(iecstatus)-ROW('INFORMATION, ÉDUCTION ET LA COM'!$E$5)+1)),ROWS(L$47:L49))),"")</f>
        <v/>
      </c>
      <c r="M49" s="179">
        <f>SUMPRODUCT((prevstage=5)*(prevstatus=1))</f>
        <v>0</v>
      </c>
      <c r="N49" s="176" t="str">
        <f t="array" ref="N49">IF(ROWS(N$47:N49)&lt;=$M$48,INDEX('PRÉVENTION ET DE CONTRÔLE'!$C$5:$C$29,SMALL(IF(prevstage=5,IF(prevstatus=0,ROW(prevstatus)-ROW('PRÉVENTION ET DE CONTRÔLE'!$E$5)+1)),ROWS(N$47:N49))),"")</f>
        <v>Maintien de la capacité pour répondre aux épidémies et la réintroduction de la rage</v>
      </c>
      <c r="O49" s="177" t="str">
        <f t="array" ref="O49">IF(ROWS(O$47:O49)&lt;=$M$49,INDEX('PRÉVENTION ET DE CONTRÔLE'!$C$5:$C$29,SMALL(IF(prevstage=5,IF(prevstatus=1,ROW(prevstatus)-ROW('PRÉVENTION ET DE CONTRÔLE'!$E$5)+1)),ROWS(O$47:O49))),"")</f>
        <v/>
      </c>
      <c r="P49" s="175" t="e">
        <f>SUMPRODUCT((dogstage=5)*(dogstatus=1))</f>
        <v>#REF!</v>
      </c>
      <c r="Q49" s="178" t="e">
        <f t="array" ref="Q49">IF(ROWS(Q$47:Q49)&lt;=$P$48,INDEX(#REF!,SMALL(IF(dogstage=5,IF(dogstatus=0,ROW(dogstatus)-ROW(#REF!)+1)),ROWS(Q$47:Q49))),"")</f>
        <v>#REF!</v>
      </c>
      <c r="R49" s="173" t="e">
        <f t="array" ref="R49">IF(ROWS(R$47:R49)&lt;=$P$49,INDEX(#REF!,SMALL(IF(dogstage=5,IF(dogstatus=1,ROW(dogstatus)-ROW(#REF!)+1)),ROWS(R$47:R49))),"")</f>
        <v>#REF!</v>
      </c>
      <c r="S49" s="175">
        <f>SUMPRODUCT((crossstage=5)*(crossstatus=1))</f>
        <v>0</v>
      </c>
      <c r="T49" s="176" t="str">
        <f t="array" ref="T49">IF(ROWS(T$47:T49)&lt;=$S$48,INDEX('QUESTIONS TRANSVERSALES'!$C$5:$C$16,SMALL(IF(crossstage=5,IF(crossstatus=0,ROW(crossstatus)-ROW('QUESTIONS TRANSVERSALES'!$E$5)+1)),ROWS(T$47:T49))),"")</f>
        <v/>
      </c>
      <c r="U49" s="177" t="str">
        <f t="array" ref="U49">IF(ROWS(U$47:U49)&lt;=$S$49,INDEX('QUESTIONS TRANSVERSALES'!$C$5:$C$16,SMALL(IF(crossstage=5,IF(crossstatus=1,ROW(crossstatus)-ROW('QUESTIONS TRANSVERSALES'!$E$5)+1)),ROWS(U$47:U49))),"")</f>
        <v/>
      </c>
      <c r="Z49" s="93"/>
    </row>
    <row r="50" spans="1:26" s="15" customFormat="1" x14ac:dyDescent="0.25">
      <c r="A50" s="50"/>
      <c r="B50" s="178" t="str">
        <f t="array" ref="B50">IF(ROWS(B$47:B50)&lt;=$A$48,INDEX(LÉGISLATION!$C$5:$C$19,SMALL(IF(STAGE=5,IF(STATUS=0,ROW(STATUS)-ROW(LÉGISLATION!$E$5)+1)),ROWS(B$47:B50))),"")</f>
        <v/>
      </c>
      <c r="C50" s="173" t="str">
        <f t="array" ref="C50">IF(ROWS(C$47:C50)&lt;=$A$49,INDEX(LÉGISLATION!$C$5:$C$19,SMALL(IF(STAGE=5,IF(STATUS=1,ROW(STATUS)-ROW(LÉGISLATION!$E$5)+1)),ROWS(C$47:C50))),"")</f>
        <v/>
      </c>
      <c r="D50" s="174"/>
      <c r="E50" s="176" t="str">
        <f t="array" ref="E50">IF(ROWS(E$47:E50)&lt;=$D$48,INDEX('COLLECTE DE DONNÉES ET ANALYSE'!$C$5:$C$22,SMALL(IF(datastage=5,IF(datastatus=0,ROW(datastatus)-ROW('COLLECTE DE DONNÉES ET ANALYSE'!$E$5)+1)),ROWS(E$47:E50))),"")</f>
        <v/>
      </c>
      <c r="F50" s="177" t="str">
        <f t="array" ref="F50">IF(ROWS(F$47:F50)&lt;=$D$49,INDEX('COLLECTE DE DONNÉES ET ANALYSE'!$C$5:$C$22,SMALL(IF(datastage=5,IF(datastatus=1,ROW(datastatus)-ROW('COLLECTE DE DONNÉES ET ANALYSE'!$E$5)+1)),ROWS(F$47:F50))),"")</f>
        <v/>
      </c>
      <c r="G50" s="175"/>
      <c r="H50" s="176" t="str">
        <f t="array" ref="H50">IF(ROWS(H$47:H50)&lt;=$G$48,INDEX('DIAGNOSTIC DE LABORATOIRE'!$C$5:$C$15,SMALL(IF(labstage=5,IF(labstatus=0,ROW(labstatus)-ROW('DIAGNOSTIC DE LABORATOIRE'!$E$5)+1)),ROWS(H$47:H50))),"")</f>
        <v/>
      </c>
      <c r="I50" s="177" t="str">
        <f t="array" ref="I50">IF(ROWS(I$47:I50)&lt;=$G$49,INDEX('DIAGNOSTIC DE LABORATOIRE'!$C$5:$C$15,SMALL(IF(labstage=5,IF(labstatus=1,ROW(labstatus)-ROW('DIAGNOSTIC DE LABORATOIRE'!$F$5)+1)),ROWS(I$47:I50))),"")</f>
        <v/>
      </c>
      <c r="J50" s="175"/>
      <c r="K50" s="178" t="str">
        <f t="array" ref="K50">IF(ROWS(K$47:K50)&lt;=$J$48,INDEX('INFORMATION, ÉDUCTION ET LA COM'!$C$5:$C$21,SMALL(IF(iecstage=5,IF(iecstatus=0,ROW(iecstatus)-ROW('INFORMATION, ÉDUCTION ET LA COM'!$E$5)+1)),ROWS(K$47:K50))),"")</f>
        <v/>
      </c>
      <c r="L50" s="173" t="str">
        <f t="array" ref="L50">IF(ROWS(L$47:L50)&lt;=$J$49,INDEX('INFORMATION, ÉDUCTION ET LA COM'!$C$5:$C$21,SMALL(IF(iecstage=5,IF(iecstatus=1,ROW(iecstatus)-ROW('INFORMATION, ÉDUCTION ET LA COM'!$E$5)+1)),ROWS(L$47:L50))),"")</f>
        <v/>
      </c>
      <c r="M50" s="179"/>
      <c r="N50" s="176" t="str">
        <f t="array" ref="N50">IF(ROWS(N$47:N50)&lt;=$M$48,INDEX('PRÉVENTION ET DE CONTRÔLE'!$C$5:$C$29,SMALL(IF(prevstage=5,IF(prevstatus=0,ROW(prevstatus)-ROW('PRÉVENTION ET DE CONTRÔLE'!$E$5)+1)),ROWS(N$47:N50))),"")</f>
        <v/>
      </c>
      <c r="O50" s="177" t="str">
        <f t="array" ref="O50">IF(ROWS(O$47:O50)&lt;=$M$49,INDEX('PRÉVENTION ET DE CONTRÔLE'!$C$5:$C$29,SMALL(IF(prevstage=5,IF(prevstatus=1,ROW(prevstatus)-ROW('PRÉVENTION ET DE CONTRÔLE'!$E$5)+1)),ROWS(O$47:O50))),"")</f>
        <v/>
      </c>
      <c r="P50" s="175"/>
      <c r="Q50" s="178" t="e">
        <f t="array" ref="Q50">IF(ROWS(Q$47:Q50)&lt;=$P$48,INDEX(#REF!,SMALL(IF(dogstage=5,IF(dogstatus=0,ROW(dogstatus)-ROW(#REF!)+1)),ROWS(Q$47:Q50))),"")</f>
        <v>#REF!</v>
      </c>
      <c r="R50" s="173" t="e">
        <f t="array" ref="R50">IF(ROWS(R$47:R50)&lt;=$P$49,INDEX(#REF!,SMALL(IF(dogstage=5,IF(dogstatus=1,ROW(dogstatus)-ROW(#REF!)+1)),ROWS(R$47:R50))),"")</f>
        <v>#REF!</v>
      </c>
      <c r="S50" s="175"/>
      <c r="T50" s="176" t="str">
        <f t="array" ref="T50">IF(ROWS(T$47:T50)&lt;=$S$48,INDEX('QUESTIONS TRANSVERSALES'!$C$5:$C$16,SMALL(IF(crossstage=5,IF(crossstatus=0,ROW(crossstatus)-ROW('QUESTIONS TRANSVERSALES'!$E$5)+1)),ROWS(T$47:T50))),"")</f>
        <v/>
      </c>
      <c r="U50" s="177" t="str">
        <f t="array" ref="U50">IF(ROWS(U$47:U50)&lt;=$S$49,INDEX('QUESTIONS TRANSVERSALES'!$C$5:$C$16,SMALL(IF(crossstage=5,IF(crossstatus=1,ROW(crossstatus)-ROW('QUESTIONS TRANSVERSALES'!$E$5)+1)),ROWS(U$47:U50))),"")</f>
        <v/>
      </c>
    </row>
    <row r="51" spans="1:26" s="15" customFormat="1" x14ac:dyDescent="0.25">
      <c r="A51" s="50"/>
      <c r="B51" s="178" t="str">
        <f t="array" ref="B51">IF(ROWS(B$47:B51)&lt;=$A$48,INDEX(LÉGISLATION!$C$5:$C$19,SMALL(IF(STAGE=5,IF(STATUS=0,ROW(STATUS)-ROW(LÉGISLATION!$E$5)+1)),ROWS(B$47:B51))),"")</f>
        <v/>
      </c>
      <c r="C51" s="173" t="str">
        <f t="array" ref="C51">IF(ROWS(C$47:C51)&lt;=$A$49,INDEX(LÉGISLATION!$C$5:$C$19,SMALL(IF(STAGE=5,IF(STATUS=1,ROW(STATUS)-ROW(LÉGISLATION!$E$5)+1)),ROWS(C$47:C51))),"")</f>
        <v/>
      </c>
      <c r="D51" s="174"/>
      <c r="E51" s="176" t="str">
        <f t="array" ref="E51">IF(ROWS(E$47:E51)&lt;=$D$48,INDEX('COLLECTE DE DONNÉES ET ANALYSE'!$C$5:$C$22,SMALL(IF(datastage=5,IF(datastatus=0,ROW(datastatus)-ROW('COLLECTE DE DONNÉES ET ANALYSE'!$E$5)+1)),ROWS(E$47:E51))),"")</f>
        <v/>
      </c>
      <c r="F51" s="177" t="str">
        <f t="array" ref="F51">IF(ROWS(F$47:F51)&lt;=$D$49,INDEX('COLLECTE DE DONNÉES ET ANALYSE'!$C$5:$C$22,SMALL(IF(datastage=5,IF(datastatus=1,ROW(datastatus)-ROW('COLLECTE DE DONNÉES ET ANALYSE'!$E$5)+1)),ROWS(F$47:F51))),"")</f>
        <v/>
      </c>
      <c r="G51" s="175"/>
      <c r="H51" s="176" t="str">
        <f t="array" ref="H51">IF(ROWS(H$47:H51)&lt;=$G$48,INDEX('DIAGNOSTIC DE LABORATOIRE'!$C$5:$C$15,SMALL(IF(labstage=5,IF(labstatus=0,ROW(labstatus)-ROW('DIAGNOSTIC DE LABORATOIRE'!$E$5)+1)),ROWS(H$47:H51))),"")</f>
        <v/>
      </c>
      <c r="I51" s="177" t="str">
        <f t="array" ref="I51">IF(ROWS(I$47:I51)&lt;=$G$49,INDEX('DIAGNOSTIC DE LABORATOIRE'!$C$5:$C$15,SMALL(IF(labstage=5,IF(labstatus=1,ROW(labstatus)-ROW('DIAGNOSTIC DE LABORATOIRE'!$F$5)+1)),ROWS(I$47:I51))),"")</f>
        <v/>
      </c>
      <c r="J51" s="175"/>
      <c r="K51" s="178" t="str">
        <f t="array" ref="K51">IF(ROWS(K$47:K51)&lt;=$J$48,INDEX('INFORMATION, ÉDUCTION ET LA COM'!$C$5:$C$21,SMALL(IF(iecstage=5,IF(iecstatus=0,ROW(iecstatus)-ROW('INFORMATION, ÉDUCTION ET LA COM'!$E$5)+1)),ROWS(K$47:K51))),"")</f>
        <v/>
      </c>
      <c r="L51" s="173" t="str">
        <f t="array" ref="L51">IF(ROWS(L$47:L51)&lt;=$J$49,INDEX('INFORMATION, ÉDUCTION ET LA COM'!$C$5:$C$21,SMALL(IF(iecstage=5,IF(iecstatus=1,ROW(iecstatus)-ROW('INFORMATION, ÉDUCTION ET LA COM'!$E$5)+1)),ROWS(L$47:L51))),"")</f>
        <v/>
      </c>
      <c r="M51" s="179"/>
      <c r="N51" s="176" t="str">
        <f t="array" ref="N51">IF(ROWS(N$47:N51)&lt;=$M$48,INDEX('PRÉVENTION ET DE CONTRÔLE'!$C$5:$C$29,SMALL(IF(prevstage=5,IF(prevstatus=0,ROW(prevstatus)-ROW('PRÉVENTION ET DE CONTRÔLE'!$E$5)+1)),ROWS(N$47:N51))),"")</f>
        <v/>
      </c>
      <c r="O51" s="177" t="str">
        <f t="array" ref="O51">IF(ROWS(O$47:O51)&lt;=$M$49,INDEX('PRÉVENTION ET DE CONTRÔLE'!$C$5:$C$29,SMALL(IF(prevstage=5,IF(prevstatus=1,ROW(prevstatus)-ROW('PRÉVENTION ET DE CONTRÔLE'!$E$5)+1)),ROWS(O$47:O51))),"")</f>
        <v/>
      </c>
      <c r="P51" s="175"/>
      <c r="Q51" s="178" t="e">
        <f t="array" ref="Q51">IF(ROWS(Q$47:Q51)&lt;=$P$48,INDEX(#REF!,SMALL(IF(dogstage=5,IF(dogstatus=0,ROW(dogstatus)-ROW(#REF!)+1)),ROWS(Q$47:Q51))),"")</f>
        <v>#REF!</v>
      </c>
      <c r="R51" s="173" t="e">
        <f t="array" ref="R51">IF(ROWS(R$47:R51)&lt;=$P$49,INDEX(#REF!,SMALL(IF(dogstage=5,IF(dogstatus=1,ROW(dogstatus)-ROW(#REF!)+1)),ROWS(R$47:R51))),"")</f>
        <v>#REF!</v>
      </c>
      <c r="S51" s="175"/>
      <c r="T51" s="176" t="str">
        <f t="array" ref="T51">IF(ROWS(T$47:T51)&lt;=$S$48,INDEX('QUESTIONS TRANSVERSALES'!$C$5:$C$16,SMALL(IF(crossstage=5,IF(crossstatus=0,ROW(crossstatus)-ROW('QUESTIONS TRANSVERSALES'!$E$5)+1)),ROWS(T$47:T51))),"")</f>
        <v/>
      </c>
      <c r="U51" s="177" t="str">
        <f t="array" ref="U51">IF(ROWS(U$47:U51)&lt;=$S$49,INDEX('QUESTIONS TRANSVERSALES'!$C$5:$C$16,SMALL(IF(crossstage=5,IF(crossstatus=1,ROW(crossstatus)-ROW('QUESTIONS TRANSVERSALES'!$E$5)+1)),ROWS(U$47:U51))),"")</f>
        <v/>
      </c>
    </row>
    <row r="52" spans="1:26" s="15" customFormat="1" x14ac:dyDescent="0.25">
      <c r="A52" s="50"/>
      <c r="B52" s="178" t="str">
        <f t="array" ref="B52">IF(ROWS(B$47:B52)&lt;=$A$48,INDEX(LÉGISLATION!$C$5:$C$19,SMALL(IF(STAGE=5,IF(STATUS=0,ROW(STATUS)-ROW(LÉGISLATION!$E$5)+1)),ROWS(B$47:B52))),"")</f>
        <v/>
      </c>
      <c r="C52" s="173" t="str">
        <f t="array" ref="C52">IF(ROWS(C$47:C52)&lt;=$A$49,INDEX(LÉGISLATION!$C$5:$C$19,SMALL(IF(STAGE=5,IF(STATUS=1,ROW(STATUS)-ROW(LÉGISLATION!$E$5)+1)),ROWS(C$47:C52))),"")</f>
        <v/>
      </c>
      <c r="D52" s="174"/>
      <c r="E52" s="176" t="str">
        <f t="array" ref="E52">IF(ROWS(E$47:E52)&lt;=$D$48,INDEX('COLLECTE DE DONNÉES ET ANALYSE'!$C$5:$C$22,SMALL(IF(datastage=5,IF(datastatus=0,ROW(datastatus)-ROW('COLLECTE DE DONNÉES ET ANALYSE'!$E$5)+1)),ROWS(E$47:E52))),"")</f>
        <v/>
      </c>
      <c r="F52" s="177" t="str">
        <f t="array" ref="F52">IF(ROWS(F$47:F52)&lt;=$D$49,INDEX('COLLECTE DE DONNÉES ET ANALYSE'!$C$5:$C$22,SMALL(IF(datastage=5,IF(datastatus=1,ROW(datastatus)-ROW('COLLECTE DE DONNÉES ET ANALYSE'!$E$5)+1)),ROWS(F$47:F52))),"")</f>
        <v/>
      </c>
      <c r="G52" s="175"/>
      <c r="H52" s="176" t="str">
        <f t="array" ref="H52">IF(ROWS(H$47:H52)&lt;=$G$48,INDEX('DIAGNOSTIC DE LABORATOIRE'!$C$5:$C$15,SMALL(IF(labstage=5,IF(labstatus=0,ROW(labstatus)-ROW('DIAGNOSTIC DE LABORATOIRE'!$E$5)+1)),ROWS(H$47:H52))),"")</f>
        <v/>
      </c>
      <c r="I52" s="177" t="str">
        <f t="array" ref="I52">IF(ROWS(I$47:I52)&lt;=$G$49,INDEX('DIAGNOSTIC DE LABORATOIRE'!$C$5:$C$15,SMALL(IF(labstage=5,IF(labstatus=1,ROW(labstatus)-ROW('DIAGNOSTIC DE LABORATOIRE'!$F$5)+1)),ROWS(I$47:I52))),"")</f>
        <v/>
      </c>
      <c r="J52" s="175"/>
      <c r="K52" s="178" t="str">
        <f t="array" ref="K52">IF(ROWS(K$47:K52)&lt;=$J$48,INDEX('INFORMATION, ÉDUCTION ET LA COM'!$C$5:$C$21,SMALL(IF(iecstage=5,IF(iecstatus=0,ROW(iecstatus)-ROW('INFORMATION, ÉDUCTION ET LA COM'!$E$5)+1)),ROWS(K$47:K52))),"")</f>
        <v/>
      </c>
      <c r="L52" s="173" t="str">
        <f t="array" ref="L52">IF(ROWS(L$47:L52)&lt;=$J$49,INDEX('INFORMATION, ÉDUCTION ET LA COM'!$C$5:$C$21,SMALL(IF(iecstage=5,IF(iecstatus=1,ROW(iecstatus)-ROW('INFORMATION, ÉDUCTION ET LA COM'!$E$5)+1)),ROWS(L$47:L52))),"")</f>
        <v/>
      </c>
      <c r="M52" s="179"/>
      <c r="N52" s="176" t="str">
        <f t="array" ref="N52">IF(ROWS(N$47:N52)&lt;=$M$48,INDEX('PRÉVENTION ET DE CONTRÔLE'!$C$5:$C$29,SMALL(IF(prevstage=5,IF(prevstatus=0,ROW(prevstatus)-ROW('PRÉVENTION ET DE CONTRÔLE'!$E$5)+1)),ROWS(N$47:N52))),"")</f>
        <v/>
      </c>
      <c r="O52" s="177" t="str">
        <f t="array" ref="O52">IF(ROWS(O$47:O52)&lt;=$M$49,INDEX('PRÉVENTION ET DE CONTRÔLE'!$C$5:$C$29,SMALL(IF(prevstage=5,IF(prevstatus=1,ROW(prevstatus)-ROW('PRÉVENTION ET DE CONTRÔLE'!$E$5)+1)),ROWS(O$47:O52))),"")</f>
        <v/>
      </c>
      <c r="P52" s="175"/>
      <c r="Q52" s="178" t="e">
        <f t="array" ref="Q52">IF(ROWS(Q$47:Q52)&lt;=$P$48,INDEX(#REF!,SMALL(IF(dogstage=5,IF(dogstatus=0,ROW(dogstatus)-ROW(#REF!)+1)),ROWS(Q$47:Q52))),"")</f>
        <v>#REF!</v>
      </c>
      <c r="R52" s="173" t="e">
        <f t="array" ref="R52">IF(ROWS(R$47:R52)&lt;=$P$49,INDEX(#REF!,SMALL(IF(dogstage=5,IF(dogstatus=1,ROW(dogstatus)-ROW(#REF!)+1)),ROWS(R$47:R52))),"")</f>
        <v>#REF!</v>
      </c>
      <c r="S52" s="175"/>
      <c r="T52" s="176" t="str">
        <f t="array" ref="T52">IF(ROWS(T$47:T52)&lt;=$S$48,INDEX('QUESTIONS TRANSVERSALES'!$C$5:$C$16,SMALL(IF(crossstage=5,IF(crossstatus=0,ROW(crossstatus)-ROW('QUESTIONS TRANSVERSALES'!$E$5)+1)),ROWS(T$47:T52))),"")</f>
        <v/>
      </c>
      <c r="U52" s="177" t="str">
        <f t="array" ref="U52">IF(ROWS(U$47:U52)&lt;=$S$49,INDEX('QUESTIONS TRANSVERSALES'!$C$5:$C$16,SMALL(IF(crossstage=5,IF(crossstatus=1,ROW(crossstatus)-ROW('QUESTIONS TRANSVERSALES'!$E$5)+1)),ROWS(U$47:U52))),"")</f>
        <v/>
      </c>
    </row>
    <row r="53" spans="1:26" s="15" customFormat="1" x14ac:dyDescent="0.25">
      <c r="A53" s="50"/>
      <c r="B53" s="178" t="str">
        <f t="array" ref="B53">IF(ROWS(B$47:B53)&lt;=$A$48,INDEX(LÉGISLATION!$C$5:$C$19,SMALL(IF(STAGE=5,IF(STATUS=0,ROW(STATUS)-ROW(LÉGISLATION!$E$5)+1)),ROWS(B$47:B53))),"")</f>
        <v/>
      </c>
      <c r="C53" s="173" t="str">
        <f t="array" ref="C53">IF(ROWS(C$47:C53)&lt;=$A$49,INDEX(LÉGISLATION!$C$5:$C$19,SMALL(IF(STAGE=5,IF(STATUS=1,ROW(STATUS)-ROW(LÉGISLATION!$E$5)+1)),ROWS(C$47:C53))),"")</f>
        <v/>
      </c>
      <c r="D53" s="174"/>
      <c r="E53" s="176" t="str">
        <f t="array" ref="E53">IF(ROWS(E$47:E53)&lt;=$D$48,INDEX('COLLECTE DE DONNÉES ET ANALYSE'!$C$5:$C$22,SMALL(IF(datastage=5,IF(datastatus=0,ROW(datastatus)-ROW('COLLECTE DE DONNÉES ET ANALYSE'!$E$5)+1)),ROWS(E$47:E53))),"")</f>
        <v/>
      </c>
      <c r="F53" s="177" t="str">
        <f t="array" ref="F53">IF(ROWS(F$47:F53)&lt;=$D$49,INDEX('COLLECTE DE DONNÉES ET ANALYSE'!$C$5:$C$22,SMALL(IF(datastage=5,IF(datastatus=1,ROW(datastatus)-ROW('COLLECTE DE DONNÉES ET ANALYSE'!$E$5)+1)),ROWS(F$47:F53))),"")</f>
        <v/>
      </c>
      <c r="G53" s="175"/>
      <c r="H53" s="176" t="str">
        <f t="array" ref="H53">IF(ROWS(H$47:H53)&lt;=$G$48,INDEX('DIAGNOSTIC DE LABORATOIRE'!$C$5:$C$15,SMALL(IF(labstage=5,IF(labstatus=0,ROW(labstatus)-ROW('DIAGNOSTIC DE LABORATOIRE'!$E$5)+1)),ROWS(H$47:H53))),"")</f>
        <v/>
      </c>
      <c r="I53" s="177" t="str">
        <f t="array" ref="I53">IF(ROWS(I$47:I53)&lt;=$G$49,INDEX('DIAGNOSTIC DE LABORATOIRE'!$C$5:$C$15,SMALL(IF(labstage=5,IF(labstatus=1,ROW(labstatus)-ROW('DIAGNOSTIC DE LABORATOIRE'!$F$5)+1)),ROWS(I$47:I53))),"")</f>
        <v/>
      </c>
      <c r="J53" s="175"/>
      <c r="K53" s="178" t="str">
        <f t="array" ref="K53">IF(ROWS(K$47:K53)&lt;=$J$48,INDEX('INFORMATION, ÉDUCTION ET LA COM'!$C$5:$C$21,SMALL(IF(iecstage=5,IF(iecstatus=0,ROW(iecstatus)-ROW('INFORMATION, ÉDUCTION ET LA COM'!$E$5)+1)),ROWS(K$47:K53))),"")</f>
        <v/>
      </c>
      <c r="L53" s="173" t="str">
        <f t="array" ref="L53">IF(ROWS(L$47:L53)&lt;=$J$49,INDEX('INFORMATION, ÉDUCTION ET LA COM'!$C$5:$C$21,SMALL(IF(iecstage=5,IF(iecstatus=1,ROW(iecstatus)-ROW('INFORMATION, ÉDUCTION ET LA COM'!$E$5)+1)),ROWS(L$47:L53))),"")</f>
        <v/>
      </c>
      <c r="M53" s="179"/>
      <c r="N53" s="176" t="str">
        <f t="array" ref="N53">IF(ROWS(N$47:N53)&lt;=$M$48,INDEX('PRÉVENTION ET DE CONTRÔLE'!$C$5:$C$29,SMALL(IF(prevstage=5,IF(prevstatus=0,ROW(prevstatus)-ROW('PRÉVENTION ET DE CONTRÔLE'!$E$5)+1)),ROWS(N$47:N53))),"")</f>
        <v/>
      </c>
      <c r="O53" s="177" t="str">
        <f t="array" ref="O53">IF(ROWS(O$47:O53)&lt;=$M$49,INDEX('PRÉVENTION ET DE CONTRÔLE'!$C$5:$C$29,SMALL(IF(prevstage=5,IF(prevstatus=1,ROW(prevstatus)-ROW('PRÉVENTION ET DE CONTRÔLE'!$E$5)+1)),ROWS(O$47:O53))),"")</f>
        <v/>
      </c>
      <c r="P53" s="175"/>
      <c r="Q53" s="178" t="e">
        <f t="array" ref="Q53">IF(ROWS(Q$47:Q53)&lt;=$P$48,INDEX(#REF!,SMALL(IF(dogstage=5,IF(dogstatus=0,ROW(dogstatus)-ROW(#REF!)+1)),ROWS(Q$47:Q53))),"")</f>
        <v>#REF!</v>
      </c>
      <c r="R53" s="173" t="e">
        <f t="array" ref="R53">IF(ROWS(R$47:R53)&lt;=$P$49,INDEX(#REF!,SMALL(IF(dogstage=5,IF(dogstatus=1,ROW(dogstatus)-ROW(#REF!)+1)),ROWS(R$47:R53))),"")</f>
        <v>#REF!</v>
      </c>
      <c r="S53" s="175"/>
      <c r="T53" s="176" t="str">
        <f t="array" ref="T53">IF(ROWS(T$47:T53)&lt;=$S$48,INDEX('QUESTIONS TRANSVERSALES'!$C$5:$C$16,SMALL(IF(crossstage=5,IF(crossstatus=0,ROW(crossstatus)-ROW('QUESTIONS TRANSVERSALES'!$E$5)+1)),ROWS(T$47:T53))),"")</f>
        <v/>
      </c>
      <c r="U53" s="177" t="str">
        <f t="array" ref="U53">IF(ROWS(U$47:U53)&lt;=$S$49,INDEX('QUESTIONS TRANSVERSALES'!$C$5:$C$16,SMALL(IF(crossstage=5,IF(crossstatus=1,ROW(crossstatus)-ROW('QUESTIONS TRANSVERSALES'!$E$5)+1)),ROWS(U$47:U53))),"")</f>
        <v/>
      </c>
    </row>
    <row r="54" spans="1:26" s="15" customFormat="1" x14ac:dyDescent="0.25">
      <c r="A54" s="50"/>
      <c r="B54" s="178" t="str">
        <f t="array" ref="B54">IF(ROWS(B$47:B54)&lt;=$A$48,INDEX(LÉGISLATION!$C$5:$C$19,SMALL(IF(STAGE=5,IF(STATUS=0,ROW(STATUS)-ROW(LÉGISLATION!$E$5)+1)),ROWS(B$47:B54))),"")</f>
        <v/>
      </c>
      <c r="C54" s="173" t="str">
        <f t="array" ref="C54">IF(ROWS(C$47:C54)&lt;=$A$49,INDEX(LÉGISLATION!$C$5:$C$19,SMALL(IF(STAGE=5,IF(STATUS=1,ROW(STATUS)-ROW(LÉGISLATION!$E$5)+1)),ROWS(C$47:C54))),"")</f>
        <v/>
      </c>
      <c r="D54" s="174"/>
      <c r="E54" s="176" t="str">
        <f t="array" ref="E54">IF(ROWS(E$47:E54)&lt;=$D$48,INDEX('COLLECTE DE DONNÉES ET ANALYSE'!$C$5:$C$22,SMALL(IF(datastage=5,IF(datastatus=0,ROW(datastatus)-ROW('COLLECTE DE DONNÉES ET ANALYSE'!$E$5)+1)),ROWS(E$47:E54))),"")</f>
        <v/>
      </c>
      <c r="F54" s="177" t="str">
        <f t="array" ref="F54">IF(ROWS(F$47:F54)&lt;=$D$49,INDEX('COLLECTE DE DONNÉES ET ANALYSE'!$C$5:$C$22,SMALL(IF(datastage=5,IF(datastatus=1,ROW(datastatus)-ROW('COLLECTE DE DONNÉES ET ANALYSE'!$E$5)+1)),ROWS(F$47:F54))),"")</f>
        <v/>
      </c>
      <c r="G54" s="175"/>
      <c r="H54" s="176" t="str">
        <f t="array" ref="H54">IF(ROWS(H$47:H54)&lt;=$G$48,INDEX('DIAGNOSTIC DE LABORATOIRE'!$C$5:$C$15,SMALL(IF(labstage=5,IF(labstatus=0,ROW(labstatus)-ROW('DIAGNOSTIC DE LABORATOIRE'!$E$5)+1)),ROWS(H$47:H54))),"")</f>
        <v/>
      </c>
      <c r="I54" s="177" t="str">
        <f t="array" ref="I54">IF(ROWS(I$47:I54)&lt;=$G$49,INDEX('DIAGNOSTIC DE LABORATOIRE'!$C$5:$C$15,SMALL(IF(labstage=5,IF(labstatus=1,ROW(labstatus)-ROW('DIAGNOSTIC DE LABORATOIRE'!$F$5)+1)),ROWS(I$47:I54))),"")</f>
        <v/>
      </c>
      <c r="J54" s="175"/>
      <c r="K54" s="178" t="str">
        <f t="array" ref="K54">IF(ROWS(K$47:K54)&lt;=$J$48,INDEX('INFORMATION, ÉDUCTION ET LA COM'!$C$5:$C$21,SMALL(IF(iecstage=5,IF(iecstatus=0,ROW(iecstatus)-ROW('INFORMATION, ÉDUCTION ET LA COM'!$E$5)+1)),ROWS(K$47:K54))),"")</f>
        <v/>
      </c>
      <c r="L54" s="173" t="str">
        <f t="array" ref="L54">IF(ROWS(L$47:L54)&lt;=$J$49,INDEX('INFORMATION, ÉDUCTION ET LA COM'!$C$5:$C$21,SMALL(IF(iecstage=5,IF(iecstatus=1,ROW(iecstatus)-ROW('INFORMATION, ÉDUCTION ET LA COM'!$E$5)+1)),ROWS(L$47:L54))),"")</f>
        <v/>
      </c>
      <c r="M54" s="179"/>
      <c r="N54" s="176" t="str">
        <f t="array" ref="N54">IF(ROWS(N$47:N54)&lt;=$M$48,INDEX('PRÉVENTION ET DE CONTRÔLE'!$C$5:$C$29,SMALL(IF(prevstage=5,IF(prevstatus=0,ROW(prevstatus)-ROW('PRÉVENTION ET DE CONTRÔLE'!$E$5)+1)),ROWS(N$47:N54))),"")</f>
        <v/>
      </c>
      <c r="O54" s="177" t="str">
        <f t="array" ref="O54">IF(ROWS(O$47:O54)&lt;=$M$49,INDEX('PRÉVENTION ET DE CONTRÔLE'!$C$5:$C$29,SMALL(IF(prevstage=5,IF(prevstatus=1,ROW(prevstatus)-ROW('PRÉVENTION ET DE CONTRÔLE'!$E$5)+1)),ROWS(O$47:O54))),"")</f>
        <v/>
      </c>
      <c r="P54" s="175"/>
      <c r="Q54" s="178" t="e">
        <f t="array" ref="Q54">IF(ROWS(Q$47:Q54)&lt;=$P$48,INDEX(#REF!,SMALL(IF(dogstage=5,IF(dogstatus=0,ROW(dogstatus)-ROW(#REF!)+1)),ROWS(Q$47:Q54))),"")</f>
        <v>#REF!</v>
      </c>
      <c r="R54" s="173" t="e">
        <f t="array" ref="R54">IF(ROWS(R$47:R54)&lt;=$P$49,INDEX(#REF!,SMALL(IF(dogstage=5,IF(dogstatus=1,ROW(dogstatus)-ROW(#REF!)+1)),ROWS(R$47:R54))),"")</f>
        <v>#REF!</v>
      </c>
      <c r="S54" s="175"/>
      <c r="T54" s="176" t="str">
        <f t="array" ref="T54">IF(ROWS(T$47:T54)&lt;=$S$48,INDEX('QUESTIONS TRANSVERSALES'!$C$5:$C$16,SMALL(IF(crossstage=5,IF(crossstatus=0,ROW(crossstatus)-ROW('QUESTIONS TRANSVERSALES'!$E$5)+1)),ROWS(T$47:T54))),"")</f>
        <v/>
      </c>
      <c r="U54" s="177" t="str">
        <f t="array" ref="U54">IF(ROWS(U$47:U54)&lt;=$S$49,INDEX('QUESTIONS TRANSVERSALES'!$C$5:$C$16,SMALL(IF(crossstage=5,IF(crossstatus=1,ROW(crossstatus)-ROW('QUESTIONS TRANSVERSALES'!$E$5)+1)),ROWS(U$47:U54))),"")</f>
        <v/>
      </c>
    </row>
    <row r="55" spans="1:26" s="15" customFormat="1" x14ac:dyDescent="0.25">
      <c r="A55" s="51"/>
      <c r="B55" s="180" t="str">
        <f t="array" ref="B55">IF(ROWS(B$47:B55)&lt;=$A$48,INDEX(LÉGISLATION!$C$5:$C$19,SMALL(IF(STAGE=5,IF(STATUS=0,ROW(STATUS)-ROW(LÉGISLATION!$E$5)+1)),ROWS(B$47:B55))),"")</f>
        <v/>
      </c>
      <c r="C55" s="181" t="str">
        <f t="array" ref="C55">IF(ROWS(C$47:C55)&lt;=$A$49,INDEX(LÉGISLATION!$C$5:$C$19,SMALL(IF(STAGE=5,IF(STATUS=1,ROW(STATUS)-ROW(LÉGISLATION!$E$5)+1)),ROWS(C$47:C55))),"")</f>
        <v/>
      </c>
      <c r="D55" s="182"/>
      <c r="E55" s="184" t="str">
        <f t="array" ref="E55">IF(ROWS(E$47:E55)&lt;=$D$48,INDEX('COLLECTE DE DONNÉES ET ANALYSE'!$C$5:$C$22,SMALL(IF(datastage=5,IF(datastatus=0,ROW(datastatus)-ROW('COLLECTE DE DONNÉES ET ANALYSE'!$E$5)+1)),ROWS(E$47:E55))),"")</f>
        <v/>
      </c>
      <c r="F55" s="185" t="str">
        <f t="array" ref="F55">IF(ROWS(F$47:F55)&lt;=$D$49,INDEX('COLLECTE DE DONNÉES ET ANALYSE'!$C$5:$C$22,SMALL(IF(datastage=5,IF(datastatus=1,ROW(datastatus)-ROW('COLLECTE DE DONNÉES ET ANALYSE'!$E$5)+1)),ROWS(F$47:F55))),"")</f>
        <v/>
      </c>
      <c r="G55" s="183"/>
      <c r="H55" s="184" t="str">
        <f t="array" ref="H55">IF(ROWS(H$47:H55)&lt;=$G$48,INDEX('DIAGNOSTIC DE LABORATOIRE'!$C$5:$C$15,SMALL(IF(labstage=5,IF(labstatus=0,ROW(labstatus)-ROW('DIAGNOSTIC DE LABORATOIRE'!$E$5)+1)),ROWS(H$47:H55))),"")</f>
        <v/>
      </c>
      <c r="I55" s="185" t="str">
        <f t="array" ref="I55">IF(ROWS(I$47:I55)&lt;=$G$49,INDEX('DIAGNOSTIC DE LABORATOIRE'!$C$5:$C$15,SMALL(IF(labstage=5,IF(labstatus=1,ROW(labstatus)-ROW('DIAGNOSTIC DE LABORATOIRE'!$F$5)+1)),ROWS(I$47:I55))),"")</f>
        <v/>
      </c>
      <c r="J55" s="183"/>
      <c r="K55" s="180" t="str">
        <f t="array" ref="K55">IF(ROWS(K$47:K55)&lt;=$J$48,INDEX('INFORMATION, ÉDUCTION ET LA COM'!$C$5:$C$21,SMALL(IF(iecstage=5,IF(iecstatus=0,ROW(iecstatus)-ROW('INFORMATION, ÉDUCTION ET LA COM'!$E$5)+1)),ROWS(K$47:K55))),"")</f>
        <v/>
      </c>
      <c r="L55" s="181" t="str">
        <f t="array" ref="L55">IF(ROWS(L$47:L55)&lt;=$J$49,INDEX('INFORMATION, ÉDUCTION ET LA COM'!$C$5:$C$21,SMALL(IF(iecstage=5,IF(iecstatus=1,ROW(iecstatus)-ROW('INFORMATION, ÉDUCTION ET LA COM'!$E$5)+1)),ROWS(L$47:L55))),"")</f>
        <v/>
      </c>
      <c r="M55" s="186"/>
      <c r="N55" s="184" t="str">
        <f t="array" ref="N55">IF(ROWS(N$47:N55)&lt;=$M$48,INDEX('PRÉVENTION ET DE CONTRÔLE'!$C$5:$C$29,SMALL(IF(prevstage=5,IF(prevstatus=0,ROW(prevstatus)-ROW('PRÉVENTION ET DE CONTRÔLE'!$E$5)+1)),ROWS(N$47:N55))),"")</f>
        <v/>
      </c>
      <c r="O55" s="185" t="str">
        <f t="array" ref="O55">IF(ROWS(O$47:O55)&lt;=$M$49,INDEX('PRÉVENTION ET DE CONTRÔLE'!$C$5:$C$29,SMALL(IF(prevstage=5,IF(prevstatus=1,ROW(prevstatus)-ROW('PRÉVENTION ET DE CONTRÔLE'!$E$5)+1)),ROWS(O$47:O55))),"")</f>
        <v/>
      </c>
      <c r="P55" s="183"/>
      <c r="Q55" s="180" t="e">
        <f t="array" ref="Q55">IF(ROWS(Q$47:Q55)&lt;=$P$48,INDEX(#REF!,SMALL(IF(dogstage=5,IF(dogstatus=0,ROW(dogstatus)-ROW(#REF!)+1)),ROWS(Q$47:Q55))),"")</f>
        <v>#REF!</v>
      </c>
      <c r="R55" s="181" t="e">
        <f t="array" ref="R55">IF(ROWS(R$47:R55)&lt;=$P$49,INDEX(#REF!,SMALL(IF(dogstage=5,IF(dogstatus=1,ROW(dogstatus)-ROW(#REF!)+1)),ROWS(R$47:R55))),"")</f>
        <v>#REF!</v>
      </c>
      <c r="S55" s="183"/>
      <c r="T55" s="184" t="str">
        <f t="array" ref="T55">IF(ROWS(T$47:T55)&lt;=$S$48,INDEX('QUESTIONS TRANSVERSALES'!$C$5:$C$16,SMALL(IF(crossstage=5,IF(crossstatus=0,ROW(crossstatus)-ROW('QUESTIONS TRANSVERSALES'!$E$5)+1)),ROWS(T$47:T55))),"")</f>
        <v/>
      </c>
      <c r="U55" s="185" t="str">
        <f t="array" ref="U55">IF(ROWS(U$47:U55)&lt;=$S$49,INDEX('QUESTIONS TRANSVERSALES'!$C$5:$C$16,SMALL(IF(crossstage=5,IF(crossstatus=1,ROW(crossstatus)-ROW('QUESTIONS TRANSVERSALES'!$E$5)+1)),ROWS(U$47:U55))),"")</f>
        <v/>
      </c>
    </row>
  </sheetData>
  <sheetProtection algorithmName="SHA-512" hashValue="n405EmLI6p85cO4l7G7ltdfayirql2/oBatWP6kVW9X/3s76tHqMGjVTZKr/D6UU27aTurrFKWSX/UyrskNAvQ==" saltValue="4MsxNFthwoRfce40J24LrA==" spinCount="100000"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pageSetup paperSize="9" orientation="landscape"/>
  <extLst>
    <ext xmlns:x14="http://schemas.microsoft.com/office/spreadsheetml/2009/9/main" uri="{78C0D931-6437-407d-A8EE-F0AAD7539E65}">
      <x14:conditionalFormattings>
        <x14:conditionalFormatting xmlns:xm="http://schemas.microsoft.com/office/excel/2006/main">
          <x14:cfRule type="expression" priority="14" id="{B48939E6-E29B-42E1-863D-92D644F21EA9}">
            <xm:f>COUNTIF('key activities'!$C$2:$C$45,$B6)&lt;&gt;0</xm:f>
            <x14:dxf>
              <font>
                <color auto="1"/>
              </font>
              <fill>
                <patternFill>
                  <bgColor rgb="FFFFFF00"/>
                </patternFill>
              </fill>
            </x14:dxf>
          </x14:cfRule>
          <xm:sqref>B6:B55</xm:sqref>
        </x14:conditionalFormatting>
        <x14:conditionalFormatting xmlns:xm="http://schemas.microsoft.com/office/excel/2006/main">
          <x14:cfRule type="expression" priority="13" id="{F493C891-9CD9-419F-B162-CA20AC543B40}">
            <xm:f>COUNTIF('key activities'!$C$2:$C$45,$E6)&lt;&gt;0</xm:f>
            <x14:dxf>
              <fill>
                <patternFill>
                  <bgColor rgb="FFFFFF00"/>
                </patternFill>
              </fill>
            </x14:dxf>
          </x14:cfRule>
          <xm:sqref>E6:E55</xm:sqref>
        </x14:conditionalFormatting>
        <x14:conditionalFormatting xmlns:xm="http://schemas.microsoft.com/office/excel/2006/main">
          <x14:cfRule type="expression" priority="12" id="{8347937B-2EE4-42C8-921A-EE2EBF61D512}">
            <xm:f>COUNTIF('key activities'!$C$2:$C$45,$H6)&lt;&gt;0</xm:f>
            <x14:dxf>
              <fill>
                <patternFill>
                  <bgColor rgb="FFFFFF00"/>
                </patternFill>
              </fill>
            </x14:dxf>
          </x14:cfRule>
          <xm:sqref>H6:H55</xm:sqref>
        </x14:conditionalFormatting>
        <x14:conditionalFormatting xmlns:xm="http://schemas.microsoft.com/office/excel/2006/main">
          <x14:cfRule type="expression" priority="11" id="{D6158F7C-A77B-4932-9BAE-645A32785CA5}">
            <xm:f>COUNTIF('key activities'!$C$2:$C$45,$K6)&lt;&gt;0</xm:f>
            <x14:dxf>
              <fill>
                <patternFill>
                  <bgColor rgb="FFFFFF00"/>
                </patternFill>
              </fill>
            </x14:dxf>
          </x14:cfRule>
          <xm:sqref>K6:K55</xm:sqref>
        </x14:conditionalFormatting>
        <x14:conditionalFormatting xmlns:xm="http://schemas.microsoft.com/office/excel/2006/main">
          <x14:cfRule type="expression" priority="10" id="{52A418EC-7010-438C-9C74-701CF6D6F952}">
            <xm:f>COUNTIF('key activities'!$C$2:$C$45,$N6)&lt;&gt;0</xm:f>
            <x14:dxf>
              <fill>
                <patternFill>
                  <bgColor rgb="FFFFFF00"/>
                </patternFill>
              </fill>
            </x14:dxf>
          </x14:cfRule>
          <xm:sqref>N6:N55</xm:sqref>
        </x14:conditionalFormatting>
        <x14:conditionalFormatting xmlns:xm="http://schemas.microsoft.com/office/excel/2006/main">
          <x14:cfRule type="expression" priority="9" id="{F63E28F3-3AD7-4B94-8611-49CA0EB2852C}">
            <xm:f>COUNTIF('key activities'!$C$2:$C$45,$Q6)&lt;&gt;0</xm:f>
            <x14:dxf>
              <fill>
                <patternFill>
                  <bgColor rgb="FFFFFF00"/>
                </patternFill>
              </fill>
            </x14:dxf>
          </x14:cfRule>
          <xm:sqref>Q6:Q55</xm:sqref>
        </x14:conditionalFormatting>
        <x14:conditionalFormatting xmlns:xm="http://schemas.microsoft.com/office/excel/2006/main">
          <x14:cfRule type="expression" priority="8" id="{C47BAD5A-FFAD-44C1-AF78-A70DA66B37D7}">
            <xm:f>COUNTIF('key activities'!$C$2:$C$45,$T6)&lt;&gt;0</xm:f>
            <x14:dxf>
              <fill>
                <patternFill>
                  <bgColor rgb="FFFFFF00"/>
                </patternFill>
              </fill>
            </x14:dxf>
          </x14:cfRule>
          <xm:sqref>T6:T55</xm:sqref>
        </x14:conditionalFormatting>
        <x14:conditionalFormatting xmlns:xm="http://schemas.microsoft.com/office/excel/2006/main">
          <x14:cfRule type="expression" priority="7" id="{0A21C341-0DD2-4819-A955-71A1539BDF24}">
            <xm:f>COUNTIF('key activities'!$C$2:$C$45,$C6)&lt;&gt;0</xm:f>
            <x14:dxf>
              <fill>
                <patternFill>
                  <bgColor rgb="FF92D050"/>
                </patternFill>
              </fill>
            </x14:dxf>
          </x14:cfRule>
          <xm:sqref>C6:C55</xm:sqref>
        </x14:conditionalFormatting>
        <x14:conditionalFormatting xmlns:xm="http://schemas.microsoft.com/office/excel/2006/main">
          <x14:cfRule type="expression" priority="6" id="{912AF01B-B811-4D79-988B-7B61A0E2B9D6}">
            <xm:f>COUNTIF('key activities'!$C$2:$C$45,$F6)&lt;&gt;0</xm:f>
            <x14:dxf>
              <fill>
                <patternFill>
                  <bgColor rgb="FF92D050"/>
                </patternFill>
              </fill>
            </x14:dxf>
          </x14:cfRule>
          <xm:sqref>F6:F55</xm:sqref>
        </x14:conditionalFormatting>
        <x14:conditionalFormatting xmlns:xm="http://schemas.microsoft.com/office/excel/2006/main">
          <x14:cfRule type="expression" priority="5" id="{81F5A177-40AC-484E-BE56-E7743FD2CB42}">
            <xm:f>COUNTIF('key activities'!$C$2:$C$45,$I6)&lt;&gt;0</xm:f>
            <x14:dxf>
              <fill>
                <patternFill>
                  <bgColor rgb="FF92D050"/>
                </patternFill>
              </fill>
            </x14:dxf>
          </x14:cfRule>
          <xm:sqref>I6:I55</xm:sqref>
        </x14:conditionalFormatting>
        <x14:conditionalFormatting xmlns:xm="http://schemas.microsoft.com/office/excel/2006/main">
          <x14:cfRule type="expression" priority="4" id="{4CD34103-B3AC-4865-A421-3105C045CEC8}">
            <xm:f>COUNTIF('key activities'!$C$2:$C$45,$L6)&lt;&gt;0</xm:f>
            <x14:dxf>
              <fill>
                <patternFill>
                  <bgColor rgb="FF92D050"/>
                </patternFill>
              </fill>
            </x14:dxf>
          </x14:cfRule>
          <xm:sqref>L6:L55</xm:sqref>
        </x14:conditionalFormatting>
        <x14:conditionalFormatting xmlns:xm="http://schemas.microsoft.com/office/excel/2006/main">
          <x14:cfRule type="expression" priority="3" id="{AECBB0BE-114C-4729-8142-ACD42A64BFDF}">
            <xm:f>COUNTIF('key activities'!$C$2:$C$45,$O6)&lt;&gt;0</xm:f>
            <x14:dxf>
              <fill>
                <patternFill>
                  <bgColor rgb="FF92D050"/>
                </patternFill>
              </fill>
            </x14:dxf>
          </x14:cfRule>
          <xm:sqref>O6:O55</xm:sqref>
        </x14:conditionalFormatting>
        <x14:conditionalFormatting xmlns:xm="http://schemas.microsoft.com/office/excel/2006/main">
          <x14:cfRule type="expression" priority="2" id="{A54090A4-AD21-4A04-98C9-B70C3F842342}">
            <xm:f>COUNTIF('key activities'!$C$2:$C$45,$R6)&lt;&gt;0</xm:f>
            <x14:dxf>
              <fill>
                <patternFill>
                  <bgColor rgb="FF92D050"/>
                </patternFill>
              </fill>
            </x14:dxf>
          </x14:cfRule>
          <xm:sqref>R6:R55</xm:sqref>
        </x14:conditionalFormatting>
        <x14:conditionalFormatting xmlns:xm="http://schemas.microsoft.com/office/excel/2006/main">
          <x14:cfRule type="expression" priority="1" id="{4A310462-04F2-48D0-9263-A7F7F149CCD5}">
            <xm:f>COUNTIF('key activities'!$C$2:$C$45,$U6)&lt;&gt;0</xm:f>
            <x14:dxf>
              <fill>
                <patternFill>
                  <bgColor rgb="FF92D050"/>
                </patternFill>
              </fill>
            </x14:dxf>
          </x14:cfRule>
          <xm:sqref>U6:U55</xm:sqref>
        </x14:conditionalFormatting>
      </x14:conditionalFormattings>
    </ex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B10"/>
  <sheetViews>
    <sheetView workbookViewId="0">
      <selection activeCell="B13" sqref="B13"/>
    </sheetView>
  </sheetViews>
  <sheetFormatPr baseColWidth="10" defaultColWidth="8.85546875" defaultRowHeight="15" x14ac:dyDescent="0.25"/>
  <cols>
    <col min="2" max="2" width="74" bestFit="1" customWidth="1"/>
  </cols>
  <sheetData>
    <row r="1" spans="1:2" x14ac:dyDescent="0.25">
      <c r="A1" t="s">
        <v>392</v>
      </c>
    </row>
    <row r="3" spans="1:2" x14ac:dyDescent="0.25">
      <c r="A3" s="111" t="s">
        <v>394</v>
      </c>
      <c r="B3" s="115" t="s">
        <v>393</v>
      </c>
    </row>
    <row r="4" spans="1:2" x14ac:dyDescent="0.25">
      <c r="A4" s="112" t="s">
        <v>398</v>
      </c>
      <c r="B4" s="116" t="s">
        <v>395</v>
      </c>
    </row>
    <row r="5" spans="1:2" x14ac:dyDescent="0.25">
      <c r="A5" s="113" t="s">
        <v>397</v>
      </c>
      <c r="B5" s="117" t="s">
        <v>402</v>
      </c>
    </row>
    <row r="6" spans="1:2" x14ac:dyDescent="0.25">
      <c r="A6" s="113" t="s">
        <v>397</v>
      </c>
      <c r="B6" s="117" t="s">
        <v>396</v>
      </c>
    </row>
    <row r="7" spans="1:2" x14ac:dyDescent="0.25">
      <c r="A7" s="113" t="s">
        <v>399</v>
      </c>
      <c r="B7" s="117" t="s">
        <v>401</v>
      </c>
    </row>
    <row r="8" spans="1:2" x14ac:dyDescent="0.25">
      <c r="A8" s="114" t="s">
        <v>399</v>
      </c>
      <c r="B8" s="118" t="s">
        <v>400</v>
      </c>
    </row>
    <row r="9" spans="1:2" x14ac:dyDescent="0.25">
      <c r="A9" s="59"/>
    </row>
    <row r="10" spans="1:2" x14ac:dyDescent="0.25">
      <c r="A10" s="59"/>
    </row>
  </sheetData>
  <pageMargins left="0.7" right="0.7" top="0.75" bottom="0.75" header="0.3" footer="0.3"/>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D45"/>
  <sheetViews>
    <sheetView workbookViewId="0">
      <selection activeCell="C45" sqref="C45"/>
    </sheetView>
  </sheetViews>
  <sheetFormatPr baseColWidth="10" defaultColWidth="8.85546875" defaultRowHeight="12.75" x14ac:dyDescent="0.2"/>
  <cols>
    <col min="1" max="2" width="8.85546875" style="89"/>
    <col min="3" max="3" width="144" style="89" bestFit="1" customWidth="1"/>
    <col min="4" max="16384" width="8.85546875" style="89"/>
  </cols>
  <sheetData>
    <row r="1" spans="1:4" ht="15" x14ac:dyDescent="0.25">
      <c r="A1" s="8" t="s">
        <v>0</v>
      </c>
      <c r="B1" s="8" t="s">
        <v>286</v>
      </c>
      <c r="C1" s="95" t="s">
        <v>287</v>
      </c>
    </row>
    <row r="2" spans="1:4" x14ac:dyDescent="0.2">
      <c r="A2" s="89">
        <v>0</v>
      </c>
      <c r="B2" s="90" t="s">
        <v>374</v>
      </c>
      <c r="C2" s="90" t="s">
        <v>461</v>
      </c>
    </row>
    <row r="3" spans="1:4" x14ac:dyDescent="0.2">
      <c r="A3" s="89">
        <v>0</v>
      </c>
      <c r="B3" s="90" t="s">
        <v>374</v>
      </c>
      <c r="C3" s="90" t="s">
        <v>462</v>
      </c>
    </row>
    <row r="4" spans="1:4" x14ac:dyDescent="0.2">
      <c r="A4" s="89">
        <v>0</v>
      </c>
      <c r="B4" s="90" t="s">
        <v>374</v>
      </c>
      <c r="C4" s="90" t="s">
        <v>463</v>
      </c>
    </row>
    <row r="5" spans="1:4" x14ac:dyDescent="0.2">
      <c r="A5" s="89">
        <v>0</v>
      </c>
      <c r="B5" s="90" t="s">
        <v>373</v>
      </c>
      <c r="C5" s="90" t="s">
        <v>427</v>
      </c>
    </row>
    <row r="6" spans="1:4" x14ac:dyDescent="0.2">
      <c r="A6" s="89">
        <v>1</v>
      </c>
      <c r="B6" s="90" t="s">
        <v>376</v>
      </c>
      <c r="C6" s="90" t="s">
        <v>548</v>
      </c>
    </row>
    <row r="7" spans="1:4" x14ac:dyDescent="0.2">
      <c r="A7" s="89">
        <v>1</v>
      </c>
      <c r="B7" s="90" t="s">
        <v>376</v>
      </c>
      <c r="C7" s="90" t="s">
        <v>542</v>
      </c>
    </row>
    <row r="8" spans="1:4" x14ac:dyDescent="0.2">
      <c r="A8" s="89">
        <v>1</v>
      </c>
      <c r="B8" s="90" t="s">
        <v>375</v>
      </c>
      <c r="C8" s="90" t="s">
        <v>436</v>
      </c>
    </row>
    <row r="9" spans="1:4" x14ac:dyDescent="0.2">
      <c r="A9" s="89">
        <v>1</v>
      </c>
      <c r="B9" s="90" t="s">
        <v>375</v>
      </c>
      <c r="C9" s="90" t="s">
        <v>437</v>
      </c>
    </row>
    <row r="10" spans="1:4" x14ac:dyDescent="0.2">
      <c r="A10" s="89">
        <v>1</v>
      </c>
      <c r="B10" s="200" t="s">
        <v>288</v>
      </c>
      <c r="C10" s="199" t="s">
        <v>494</v>
      </c>
    </row>
    <row r="11" spans="1:4" x14ac:dyDescent="0.2">
      <c r="A11" s="89">
        <v>1</v>
      </c>
      <c r="B11" s="200" t="s">
        <v>374</v>
      </c>
      <c r="C11" s="199" t="s">
        <v>472</v>
      </c>
    </row>
    <row r="12" spans="1:4" x14ac:dyDescent="0.2">
      <c r="A12" s="89">
        <v>1</v>
      </c>
      <c r="B12" s="90" t="s">
        <v>373</v>
      </c>
      <c r="C12" s="90" t="s">
        <v>430</v>
      </c>
    </row>
    <row r="13" spans="1:4" x14ac:dyDescent="0.2">
      <c r="A13" s="89">
        <v>1</v>
      </c>
      <c r="B13" s="90" t="s">
        <v>373</v>
      </c>
      <c r="C13" s="90" t="s">
        <v>431</v>
      </c>
    </row>
    <row r="14" spans="1:4" x14ac:dyDescent="0.2">
      <c r="A14" s="89">
        <v>1</v>
      </c>
      <c r="B14" s="90" t="s">
        <v>377</v>
      </c>
      <c r="C14" s="90" t="s">
        <v>503</v>
      </c>
      <c r="D14" s="164"/>
    </row>
    <row r="15" spans="1:4" x14ac:dyDescent="0.2">
      <c r="A15" s="89">
        <v>1</v>
      </c>
      <c r="B15" s="90" t="s">
        <v>377</v>
      </c>
      <c r="C15" s="90" t="s">
        <v>510</v>
      </c>
    </row>
    <row r="16" spans="1:4" x14ac:dyDescent="0.2">
      <c r="A16" s="89">
        <v>2</v>
      </c>
      <c r="B16" s="90" t="s">
        <v>376</v>
      </c>
      <c r="C16" s="90" t="s">
        <v>550</v>
      </c>
    </row>
    <row r="17" spans="1:3" x14ac:dyDescent="0.2">
      <c r="A17" s="89">
        <v>2</v>
      </c>
      <c r="B17" s="90" t="s">
        <v>376</v>
      </c>
      <c r="C17" s="90" t="s">
        <v>551</v>
      </c>
    </row>
    <row r="18" spans="1:3" x14ac:dyDescent="0.2">
      <c r="A18" s="89">
        <v>2</v>
      </c>
      <c r="B18" s="90" t="s">
        <v>375</v>
      </c>
      <c r="C18" s="90" t="s">
        <v>445</v>
      </c>
    </row>
    <row r="19" spans="1:3" x14ac:dyDescent="0.2">
      <c r="A19" s="89">
        <v>2</v>
      </c>
      <c r="B19" s="90" t="s">
        <v>288</v>
      </c>
      <c r="C19" s="90" t="s">
        <v>572</v>
      </c>
    </row>
    <row r="20" spans="1:3" x14ac:dyDescent="0.2">
      <c r="A20" s="89">
        <v>2</v>
      </c>
      <c r="B20" s="92" t="s">
        <v>373</v>
      </c>
      <c r="C20" s="90" t="s">
        <v>573</v>
      </c>
    </row>
    <row r="21" spans="1:3" x14ac:dyDescent="0.2">
      <c r="A21" s="89">
        <v>2</v>
      </c>
      <c r="B21" s="90" t="s">
        <v>377</v>
      </c>
      <c r="C21" s="90" t="s">
        <v>505</v>
      </c>
    </row>
    <row r="22" spans="1:3" x14ac:dyDescent="0.2">
      <c r="A22" s="89">
        <v>2</v>
      </c>
      <c r="B22" s="90" t="s">
        <v>377</v>
      </c>
      <c r="C22" s="90" t="s">
        <v>507</v>
      </c>
    </row>
    <row r="23" spans="1:3" x14ac:dyDescent="0.2">
      <c r="A23" s="89">
        <v>2</v>
      </c>
      <c r="B23" s="90" t="s">
        <v>377</v>
      </c>
      <c r="C23" s="90" t="s">
        <v>513</v>
      </c>
    </row>
    <row r="24" spans="1:3" x14ac:dyDescent="0.2">
      <c r="A24" s="89">
        <v>3</v>
      </c>
      <c r="B24" s="90" t="s">
        <v>375</v>
      </c>
      <c r="C24" s="90" t="s">
        <v>446</v>
      </c>
    </row>
    <row r="25" spans="1:3" x14ac:dyDescent="0.2">
      <c r="A25" s="89">
        <v>3</v>
      </c>
      <c r="B25" s="90" t="s">
        <v>375</v>
      </c>
      <c r="C25" s="90" t="s">
        <v>447</v>
      </c>
    </row>
    <row r="26" spans="1:3" x14ac:dyDescent="0.2">
      <c r="A26" s="89">
        <v>3</v>
      </c>
      <c r="B26" s="90" t="s">
        <v>375</v>
      </c>
      <c r="C26" s="90" t="s">
        <v>448</v>
      </c>
    </row>
    <row r="27" spans="1:3" x14ac:dyDescent="0.2">
      <c r="A27" s="89">
        <v>3</v>
      </c>
      <c r="B27" s="90" t="s">
        <v>288</v>
      </c>
      <c r="C27" s="90" t="s">
        <v>434</v>
      </c>
    </row>
    <row r="28" spans="1:3" x14ac:dyDescent="0.2">
      <c r="A28" s="89">
        <v>3</v>
      </c>
      <c r="B28" s="90" t="s">
        <v>288</v>
      </c>
      <c r="C28" s="90" t="s">
        <v>485</v>
      </c>
    </row>
    <row r="29" spans="1:3" x14ac:dyDescent="0.2">
      <c r="A29" s="89">
        <v>3</v>
      </c>
      <c r="B29" s="90" t="s">
        <v>377</v>
      </c>
      <c r="C29" s="90" t="s">
        <v>508</v>
      </c>
    </row>
    <row r="30" spans="1:3" x14ac:dyDescent="0.2">
      <c r="A30" s="89">
        <v>3</v>
      </c>
      <c r="B30" s="90" t="s">
        <v>377</v>
      </c>
      <c r="C30" s="90" t="s">
        <v>526</v>
      </c>
    </row>
    <row r="31" spans="1:3" x14ac:dyDescent="0.2">
      <c r="A31" s="89">
        <v>3</v>
      </c>
      <c r="B31" s="90" t="s">
        <v>377</v>
      </c>
      <c r="C31" s="90" t="s">
        <v>514</v>
      </c>
    </row>
    <row r="32" spans="1:3" x14ac:dyDescent="0.2">
      <c r="A32" s="89">
        <v>3</v>
      </c>
      <c r="B32" s="90" t="s">
        <v>377</v>
      </c>
      <c r="C32" s="90" t="s">
        <v>515</v>
      </c>
    </row>
    <row r="33" spans="1:3" x14ac:dyDescent="0.2">
      <c r="A33" s="89">
        <v>4</v>
      </c>
      <c r="B33" s="90" t="s">
        <v>375</v>
      </c>
      <c r="C33" s="90" t="s">
        <v>449</v>
      </c>
    </row>
    <row r="34" spans="1:3" x14ac:dyDescent="0.2">
      <c r="A34" s="89">
        <v>4</v>
      </c>
      <c r="B34" s="90" t="s">
        <v>375</v>
      </c>
      <c r="C34" s="90" t="s">
        <v>451</v>
      </c>
    </row>
    <row r="35" spans="1:3" x14ac:dyDescent="0.2">
      <c r="A35" s="89">
        <v>4</v>
      </c>
      <c r="B35" s="90" t="s">
        <v>374</v>
      </c>
      <c r="C35" s="90" t="s">
        <v>468</v>
      </c>
    </row>
    <row r="36" spans="1:3" x14ac:dyDescent="0.2">
      <c r="A36" s="89">
        <v>4</v>
      </c>
      <c r="B36" s="90" t="s">
        <v>574</v>
      </c>
      <c r="C36" s="90" t="s">
        <v>489</v>
      </c>
    </row>
    <row r="37" spans="1:3" x14ac:dyDescent="0.2">
      <c r="A37" s="89">
        <v>4</v>
      </c>
      <c r="B37" s="90" t="s">
        <v>377</v>
      </c>
      <c r="C37" s="90" t="s">
        <v>516</v>
      </c>
    </row>
    <row r="38" spans="1:3" x14ac:dyDescent="0.2">
      <c r="A38" s="89">
        <v>4</v>
      </c>
      <c r="B38" s="90" t="s">
        <v>377</v>
      </c>
      <c r="C38" s="90" t="s">
        <v>527</v>
      </c>
    </row>
    <row r="39" spans="1:3" x14ac:dyDescent="0.2">
      <c r="A39" s="89">
        <v>4</v>
      </c>
      <c r="B39" s="90" t="s">
        <v>377</v>
      </c>
      <c r="C39" s="90" t="s">
        <v>529</v>
      </c>
    </row>
    <row r="40" spans="1:3" x14ac:dyDescent="0.2">
      <c r="A40" s="89">
        <v>5</v>
      </c>
      <c r="B40" s="90" t="s">
        <v>375</v>
      </c>
      <c r="C40" s="93" t="s">
        <v>452</v>
      </c>
    </row>
    <row r="41" spans="1:3" x14ac:dyDescent="0.2">
      <c r="A41" s="89">
        <v>5</v>
      </c>
      <c r="B41" s="90" t="s">
        <v>381</v>
      </c>
      <c r="C41" s="93" t="s">
        <v>491</v>
      </c>
    </row>
    <row r="42" spans="1:3" x14ac:dyDescent="0.2">
      <c r="A42" s="89">
        <v>5</v>
      </c>
      <c r="B42" s="90" t="s">
        <v>374</v>
      </c>
      <c r="C42" s="205" t="s">
        <v>469</v>
      </c>
    </row>
    <row r="43" spans="1:3" x14ac:dyDescent="0.2">
      <c r="A43" s="89">
        <v>5</v>
      </c>
      <c r="B43" s="90" t="s">
        <v>377</v>
      </c>
      <c r="C43" s="93" t="s">
        <v>509</v>
      </c>
    </row>
    <row r="44" spans="1:3" x14ac:dyDescent="0.2">
      <c r="A44" s="89">
        <v>5</v>
      </c>
      <c r="B44" s="90" t="s">
        <v>377</v>
      </c>
      <c r="C44" s="93" t="s">
        <v>517</v>
      </c>
    </row>
    <row r="45" spans="1:3" x14ac:dyDescent="0.2">
      <c r="A45" s="89">
        <v>5</v>
      </c>
      <c r="B45" s="90" t="s">
        <v>377</v>
      </c>
      <c r="C45" s="93" t="s">
        <v>530</v>
      </c>
    </row>
  </sheetData>
  <sortState ref="A2:C45">
    <sortCondition ref="A2:A45"/>
  </sortState>
  <pageMargins left="0.7" right="0.7" top="0.75" bottom="0.75" header="0.3" footer="0.3"/>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C124"/>
  <sheetViews>
    <sheetView workbookViewId="0">
      <pane ySplit="1" topLeftCell="A103" activePane="bottomLeft" state="frozen"/>
      <selection pane="bottomLeft" activeCell="B110" sqref="B110"/>
    </sheetView>
  </sheetViews>
  <sheetFormatPr baseColWidth="10" defaultColWidth="8.7109375" defaultRowHeight="15" x14ac:dyDescent="0.25"/>
  <cols>
    <col min="1" max="1" width="13.140625" style="98" customWidth="1"/>
    <col min="2" max="2" width="17.28515625" style="60" bestFit="1" customWidth="1"/>
    <col min="3" max="3" width="78.28515625" style="21" customWidth="1"/>
    <col min="4" max="16384" width="8.7109375" style="60"/>
  </cols>
  <sheetData>
    <row r="1" spans="1:3" x14ac:dyDescent="0.25">
      <c r="A1" s="98" t="s">
        <v>0</v>
      </c>
      <c r="B1" s="60" t="s">
        <v>286</v>
      </c>
      <c r="C1" s="21" t="s">
        <v>287</v>
      </c>
    </row>
    <row r="2" spans="1:3" x14ac:dyDescent="0.25">
      <c r="A2" s="98">
        <v>0</v>
      </c>
      <c r="B2" s="60" t="s">
        <v>382</v>
      </c>
      <c r="C2" s="97" t="s">
        <v>289</v>
      </c>
    </row>
    <row r="3" spans="1:3" x14ac:dyDescent="0.25">
      <c r="A3" s="98">
        <v>0</v>
      </c>
      <c r="B3" s="60" t="s">
        <v>382</v>
      </c>
      <c r="C3" s="97" t="s">
        <v>290</v>
      </c>
    </row>
    <row r="4" spans="1:3" x14ac:dyDescent="0.25">
      <c r="A4" s="98">
        <v>0</v>
      </c>
      <c r="B4" s="60" t="s">
        <v>382</v>
      </c>
      <c r="C4" s="97" t="s">
        <v>294</v>
      </c>
    </row>
    <row r="5" spans="1:3" x14ac:dyDescent="0.25">
      <c r="A5" s="98">
        <v>0</v>
      </c>
      <c r="B5" s="60" t="s">
        <v>384</v>
      </c>
      <c r="C5" s="97" t="s">
        <v>291</v>
      </c>
    </row>
    <row r="6" spans="1:3" x14ac:dyDescent="0.25">
      <c r="A6" s="98">
        <v>0</v>
      </c>
      <c r="B6" s="60" t="s">
        <v>384</v>
      </c>
      <c r="C6" s="97" t="s">
        <v>293</v>
      </c>
    </row>
    <row r="7" spans="1:3" x14ac:dyDescent="0.25">
      <c r="A7" s="98">
        <v>0</v>
      </c>
      <c r="B7" s="60" t="s">
        <v>384</v>
      </c>
      <c r="C7" s="97" t="s">
        <v>292</v>
      </c>
    </row>
    <row r="8" spans="1:3" x14ac:dyDescent="0.25">
      <c r="A8" s="97">
        <v>0</v>
      </c>
      <c r="B8" s="60" t="s">
        <v>388</v>
      </c>
      <c r="C8" s="100" t="s">
        <v>295</v>
      </c>
    </row>
    <row r="9" spans="1:3" x14ac:dyDescent="0.25">
      <c r="A9" s="98">
        <v>1</v>
      </c>
      <c r="B9" s="60" t="s">
        <v>382</v>
      </c>
      <c r="C9" s="97" t="s">
        <v>11</v>
      </c>
    </row>
    <row r="10" spans="1:3" x14ac:dyDescent="0.25">
      <c r="A10" s="98">
        <v>1</v>
      </c>
      <c r="B10" s="60" t="s">
        <v>382</v>
      </c>
      <c r="C10" s="97" t="s">
        <v>12</v>
      </c>
    </row>
    <row r="11" spans="1:3" x14ac:dyDescent="0.25">
      <c r="A11" s="98">
        <v>1</v>
      </c>
      <c r="B11" s="60" t="s">
        <v>382</v>
      </c>
      <c r="C11" s="97" t="s">
        <v>296</v>
      </c>
    </row>
    <row r="12" spans="1:3" x14ac:dyDescent="0.25">
      <c r="A12" s="98">
        <v>1</v>
      </c>
      <c r="B12" s="60" t="s">
        <v>382</v>
      </c>
      <c r="C12" s="97" t="s">
        <v>297</v>
      </c>
    </row>
    <row r="13" spans="1:3" x14ac:dyDescent="0.25">
      <c r="A13" s="98">
        <v>1</v>
      </c>
      <c r="B13" s="60" t="s">
        <v>382</v>
      </c>
      <c r="C13" s="97" t="s">
        <v>298</v>
      </c>
    </row>
    <row r="14" spans="1:3" x14ac:dyDescent="0.25">
      <c r="A14" s="98">
        <v>1</v>
      </c>
      <c r="B14" s="60" t="s">
        <v>382</v>
      </c>
      <c r="C14" s="97" t="s">
        <v>299</v>
      </c>
    </row>
    <row r="15" spans="1:3" x14ac:dyDescent="0.25">
      <c r="A15" s="98">
        <v>1</v>
      </c>
      <c r="B15" s="60" t="s">
        <v>382</v>
      </c>
      <c r="C15" s="97" t="s">
        <v>300</v>
      </c>
    </row>
    <row r="16" spans="1:3" x14ac:dyDescent="0.25">
      <c r="A16" s="98">
        <v>1</v>
      </c>
      <c r="B16" s="60" t="s">
        <v>382</v>
      </c>
      <c r="C16" s="97" t="s">
        <v>301</v>
      </c>
    </row>
    <row r="17" spans="1:3" x14ac:dyDescent="0.25">
      <c r="A17" s="98">
        <v>1</v>
      </c>
      <c r="B17" s="60" t="s">
        <v>383</v>
      </c>
      <c r="C17" s="97" t="s">
        <v>302</v>
      </c>
    </row>
    <row r="18" spans="1:3" x14ac:dyDescent="0.25">
      <c r="A18" s="98">
        <v>1</v>
      </c>
      <c r="B18" s="60" t="s">
        <v>383</v>
      </c>
      <c r="C18" s="97" t="s">
        <v>303</v>
      </c>
    </row>
    <row r="19" spans="1:3" x14ac:dyDescent="0.25">
      <c r="A19" s="98">
        <v>1</v>
      </c>
      <c r="B19" s="60" t="s">
        <v>383</v>
      </c>
      <c r="C19" s="97" t="s">
        <v>304</v>
      </c>
    </row>
    <row r="20" spans="1:3" x14ac:dyDescent="0.25">
      <c r="A20" s="98">
        <v>1</v>
      </c>
      <c r="B20" s="60" t="s">
        <v>383</v>
      </c>
      <c r="C20" s="97" t="s">
        <v>305</v>
      </c>
    </row>
    <row r="21" spans="1:3" x14ac:dyDescent="0.25">
      <c r="A21" s="98">
        <v>1</v>
      </c>
      <c r="B21" s="60" t="s">
        <v>383</v>
      </c>
      <c r="C21" s="97" t="s">
        <v>306</v>
      </c>
    </row>
    <row r="22" spans="1:3" x14ac:dyDescent="0.25">
      <c r="A22" s="98">
        <v>1</v>
      </c>
      <c r="B22" s="60" t="s">
        <v>383</v>
      </c>
      <c r="C22" s="97" t="s">
        <v>6</v>
      </c>
    </row>
    <row r="23" spans="1:3" x14ac:dyDescent="0.25">
      <c r="A23" s="98">
        <v>1</v>
      </c>
      <c r="B23" s="60" t="s">
        <v>384</v>
      </c>
      <c r="C23" s="97" t="s">
        <v>379</v>
      </c>
    </row>
    <row r="24" spans="1:3" x14ac:dyDescent="0.25">
      <c r="A24" s="98">
        <v>1</v>
      </c>
      <c r="B24" s="60" t="s">
        <v>385</v>
      </c>
      <c r="C24" s="97" t="s">
        <v>378</v>
      </c>
    </row>
    <row r="25" spans="1:3" x14ac:dyDescent="0.25">
      <c r="A25" s="97">
        <v>1</v>
      </c>
      <c r="B25" s="60" t="s">
        <v>385</v>
      </c>
      <c r="C25" s="97" t="s">
        <v>307</v>
      </c>
    </row>
    <row r="26" spans="1:3" x14ac:dyDescent="0.25">
      <c r="A26" s="97">
        <v>1</v>
      </c>
      <c r="B26" s="60" t="s">
        <v>385</v>
      </c>
      <c r="C26" s="97" t="s">
        <v>308</v>
      </c>
    </row>
    <row r="27" spans="1:3" ht="15" customHeight="1" x14ac:dyDescent="0.25">
      <c r="A27" s="97">
        <v>1</v>
      </c>
      <c r="B27" s="60" t="s">
        <v>385</v>
      </c>
      <c r="C27" s="97" t="s">
        <v>309</v>
      </c>
    </row>
    <row r="28" spans="1:3" x14ac:dyDescent="0.25">
      <c r="A28" s="98">
        <v>1</v>
      </c>
      <c r="B28" s="60" t="s">
        <v>385</v>
      </c>
      <c r="C28" s="97" t="s">
        <v>310</v>
      </c>
    </row>
    <row r="29" spans="1:3" x14ac:dyDescent="0.25">
      <c r="A29" s="98">
        <v>1</v>
      </c>
      <c r="B29" s="60" t="s">
        <v>386</v>
      </c>
      <c r="C29" s="97" t="s">
        <v>314</v>
      </c>
    </row>
    <row r="30" spans="1:3" x14ac:dyDescent="0.25">
      <c r="A30" s="98">
        <v>1</v>
      </c>
      <c r="B30" s="60" t="s">
        <v>386</v>
      </c>
      <c r="C30" s="97" t="s">
        <v>315</v>
      </c>
    </row>
    <row r="31" spans="1:3" x14ac:dyDescent="0.25">
      <c r="A31" s="97">
        <v>1</v>
      </c>
      <c r="B31" s="60" t="s">
        <v>386</v>
      </c>
      <c r="C31" s="99" t="s">
        <v>311</v>
      </c>
    </row>
    <row r="32" spans="1:3" ht="15" customHeight="1" x14ac:dyDescent="0.25">
      <c r="A32" s="97">
        <v>1</v>
      </c>
      <c r="B32" s="60" t="s">
        <v>386</v>
      </c>
      <c r="C32" s="97" t="s">
        <v>312</v>
      </c>
    </row>
    <row r="33" spans="1:3" x14ac:dyDescent="0.25">
      <c r="A33" s="97">
        <v>1</v>
      </c>
      <c r="B33" s="60" t="s">
        <v>386</v>
      </c>
      <c r="C33" s="97" t="s">
        <v>313</v>
      </c>
    </row>
    <row r="34" spans="1:3" x14ac:dyDescent="0.25">
      <c r="A34" s="98">
        <v>1</v>
      </c>
      <c r="B34" s="60" t="s">
        <v>387</v>
      </c>
      <c r="C34" s="97" t="s">
        <v>6</v>
      </c>
    </row>
    <row r="35" spans="1:3" x14ac:dyDescent="0.25">
      <c r="A35" s="98">
        <v>1</v>
      </c>
      <c r="B35" s="60" t="s">
        <v>387</v>
      </c>
      <c r="C35" s="97" t="s">
        <v>313</v>
      </c>
    </row>
    <row r="36" spans="1:3" x14ac:dyDescent="0.25">
      <c r="A36" s="98">
        <v>1</v>
      </c>
      <c r="B36" s="60" t="s">
        <v>388</v>
      </c>
      <c r="C36" s="97" t="s">
        <v>7</v>
      </c>
    </row>
    <row r="37" spans="1:3" ht="15" customHeight="1" x14ac:dyDescent="0.25">
      <c r="A37" s="98">
        <v>1</v>
      </c>
      <c r="B37" s="60" t="s">
        <v>388</v>
      </c>
      <c r="C37" s="97" t="s">
        <v>316</v>
      </c>
    </row>
    <row r="38" spans="1:3" x14ac:dyDescent="0.25">
      <c r="A38" s="98">
        <v>1</v>
      </c>
      <c r="B38" s="60" t="s">
        <v>388</v>
      </c>
      <c r="C38" s="97" t="s">
        <v>317</v>
      </c>
    </row>
    <row r="39" spans="1:3" x14ac:dyDescent="0.25">
      <c r="A39" s="98">
        <v>1</v>
      </c>
      <c r="B39" s="60" t="s">
        <v>388</v>
      </c>
      <c r="C39" s="97" t="s">
        <v>318</v>
      </c>
    </row>
    <row r="40" spans="1:3" x14ac:dyDescent="0.25">
      <c r="A40" s="98">
        <v>1</v>
      </c>
      <c r="B40" s="60" t="s">
        <v>388</v>
      </c>
      <c r="C40" s="97" t="s">
        <v>8</v>
      </c>
    </row>
    <row r="41" spans="1:3" ht="15" customHeight="1" x14ac:dyDescent="0.25">
      <c r="A41" s="98">
        <v>2</v>
      </c>
      <c r="B41" s="60" t="s">
        <v>382</v>
      </c>
      <c r="C41" s="97" t="s">
        <v>319</v>
      </c>
    </row>
    <row r="42" spans="1:3" x14ac:dyDescent="0.25">
      <c r="A42" s="98">
        <v>2</v>
      </c>
      <c r="B42" s="60" t="s">
        <v>382</v>
      </c>
      <c r="C42" s="97" t="s">
        <v>320</v>
      </c>
    </row>
    <row r="43" spans="1:3" x14ac:dyDescent="0.25">
      <c r="A43" s="98">
        <v>2</v>
      </c>
      <c r="B43" s="60" t="s">
        <v>382</v>
      </c>
      <c r="C43" s="97" t="s">
        <v>321</v>
      </c>
    </row>
    <row r="44" spans="1:3" x14ac:dyDescent="0.25">
      <c r="A44" s="98">
        <v>2</v>
      </c>
      <c r="B44" s="60" t="s">
        <v>383</v>
      </c>
      <c r="C44" s="97" t="s">
        <v>322</v>
      </c>
    </row>
    <row r="45" spans="1:3" x14ac:dyDescent="0.25">
      <c r="A45" s="98">
        <v>2</v>
      </c>
      <c r="B45" s="60" t="s">
        <v>383</v>
      </c>
      <c r="C45" s="97" t="s">
        <v>323</v>
      </c>
    </row>
    <row r="46" spans="1:3" x14ac:dyDescent="0.25">
      <c r="A46" s="98">
        <v>2</v>
      </c>
      <c r="B46" s="60" t="s">
        <v>383</v>
      </c>
      <c r="C46" s="97" t="s">
        <v>324</v>
      </c>
    </row>
    <row r="47" spans="1:3" x14ac:dyDescent="0.25">
      <c r="A47" s="98">
        <v>2</v>
      </c>
      <c r="B47" s="60" t="s">
        <v>383</v>
      </c>
      <c r="C47" s="97" t="s">
        <v>325</v>
      </c>
    </row>
    <row r="48" spans="1:3" x14ac:dyDescent="0.25">
      <c r="A48" s="98">
        <v>2</v>
      </c>
      <c r="B48" s="60" t="s">
        <v>384</v>
      </c>
      <c r="C48" s="97" t="s">
        <v>327</v>
      </c>
    </row>
    <row r="49" spans="1:3" x14ac:dyDescent="0.25">
      <c r="A49" s="98">
        <v>2</v>
      </c>
      <c r="B49" s="60" t="s">
        <v>384</v>
      </c>
      <c r="C49" s="97" t="s">
        <v>326</v>
      </c>
    </row>
    <row r="50" spans="1:3" x14ac:dyDescent="0.25">
      <c r="A50" s="98">
        <v>2</v>
      </c>
      <c r="B50" s="60" t="s">
        <v>385</v>
      </c>
      <c r="C50" s="97" t="s">
        <v>325</v>
      </c>
    </row>
    <row r="51" spans="1:3" x14ac:dyDescent="0.25">
      <c r="A51" s="97">
        <v>2</v>
      </c>
      <c r="B51" s="60" t="s">
        <v>385</v>
      </c>
      <c r="C51" s="97" t="s">
        <v>335</v>
      </c>
    </row>
    <row r="52" spans="1:3" x14ac:dyDescent="0.25">
      <c r="A52" s="97">
        <v>2</v>
      </c>
      <c r="B52" s="60" t="s">
        <v>385</v>
      </c>
      <c r="C52" s="97" t="s">
        <v>333</v>
      </c>
    </row>
    <row r="53" spans="1:3" x14ac:dyDescent="0.25">
      <c r="A53" s="97">
        <v>2</v>
      </c>
      <c r="B53" s="60" t="s">
        <v>385</v>
      </c>
      <c r="C53" s="97" t="s">
        <v>336</v>
      </c>
    </row>
    <row r="54" spans="1:3" x14ac:dyDescent="0.25">
      <c r="A54" s="98">
        <v>2</v>
      </c>
      <c r="B54" s="60" t="s">
        <v>385</v>
      </c>
      <c r="C54" s="97" t="s">
        <v>337</v>
      </c>
    </row>
    <row r="55" spans="1:3" x14ac:dyDescent="0.25">
      <c r="A55" s="98">
        <v>2</v>
      </c>
      <c r="B55" s="60" t="s">
        <v>386</v>
      </c>
      <c r="C55" s="97" t="s">
        <v>328</v>
      </c>
    </row>
    <row r="56" spans="1:3" x14ac:dyDescent="0.25">
      <c r="A56" s="98">
        <v>2</v>
      </c>
      <c r="B56" s="60" t="s">
        <v>386</v>
      </c>
      <c r="C56" s="97" t="s">
        <v>330</v>
      </c>
    </row>
    <row r="57" spans="1:3" x14ac:dyDescent="0.25">
      <c r="A57" s="97">
        <v>2</v>
      </c>
      <c r="B57" s="60" t="s">
        <v>386</v>
      </c>
      <c r="C57" s="97" t="s">
        <v>329</v>
      </c>
    </row>
    <row r="58" spans="1:3" x14ac:dyDescent="0.25">
      <c r="A58" s="98">
        <v>2</v>
      </c>
      <c r="B58" s="60" t="s">
        <v>386</v>
      </c>
      <c r="C58" s="97" t="s">
        <v>3</v>
      </c>
    </row>
    <row r="59" spans="1:3" x14ac:dyDescent="0.25">
      <c r="A59" s="98">
        <v>2</v>
      </c>
      <c r="B59" s="60" t="s">
        <v>386</v>
      </c>
      <c r="C59" s="97" t="s">
        <v>4</v>
      </c>
    </row>
    <row r="60" spans="1:3" x14ac:dyDescent="0.25">
      <c r="A60" s="97">
        <v>2</v>
      </c>
      <c r="B60" s="60" t="s">
        <v>386</v>
      </c>
      <c r="C60" s="97" t="s">
        <v>331</v>
      </c>
    </row>
    <row r="61" spans="1:3" x14ac:dyDescent="0.25">
      <c r="A61" s="97">
        <v>2</v>
      </c>
      <c r="B61" s="60" t="s">
        <v>386</v>
      </c>
      <c r="C61" s="97" t="s">
        <v>332</v>
      </c>
    </row>
    <row r="62" spans="1:3" x14ac:dyDescent="0.25">
      <c r="A62" s="98">
        <v>2</v>
      </c>
      <c r="B62" s="60" t="s">
        <v>387</v>
      </c>
      <c r="C62" s="97" t="s">
        <v>333</v>
      </c>
    </row>
    <row r="63" spans="1:3" x14ac:dyDescent="0.25">
      <c r="A63" s="98">
        <v>2</v>
      </c>
      <c r="B63" s="60" t="s">
        <v>387</v>
      </c>
      <c r="C63" s="97" t="s">
        <v>334</v>
      </c>
    </row>
    <row r="64" spans="1:3" x14ac:dyDescent="0.25">
      <c r="A64" s="98">
        <v>2</v>
      </c>
      <c r="B64" s="60" t="s">
        <v>388</v>
      </c>
      <c r="C64" s="97" t="s">
        <v>9</v>
      </c>
    </row>
    <row r="65" spans="1:3" x14ac:dyDescent="0.25">
      <c r="A65" s="98">
        <v>2</v>
      </c>
      <c r="B65" s="60" t="s">
        <v>388</v>
      </c>
      <c r="C65" s="97" t="s">
        <v>340</v>
      </c>
    </row>
    <row r="66" spans="1:3" x14ac:dyDescent="0.25">
      <c r="A66" s="98">
        <v>2</v>
      </c>
      <c r="B66" s="60" t="s">
        <v>388</v>
      </c>
      <c r="C66" s="97" t="s">
        <v>338</v>
      </c>
    </row>
    <row r="67" spans="1:3" x14ac:dyDescent="0.25">
      <c r="A67" s="98">
        <v>2</v>
      </c>
      <c r="B67" s="60" t="s">
        <v>388</v>
      </c>
      <c r="C67" s="97" t="s">
        <v>339</v>
      </c>
    </row>
    <row r="68" spans="1:3" x14ac:dyDescent="0.25">
      <c r="A68" s="98">
        <v>3</v>
      </c>
      <c r="B68" s="60" t="s">
        <v>383</v>
      </c>
      <c r="C68" s="97" t="s">
        <v>343</v>
      </c>
    </row>
    <row r="69" spans="1:3" x14ac:dyDescent="0.25">
      <c r="A69" s="98">
        <v>3</v>
      </c>
      <c r="B69" s="60" t="s">
        <v>383</v>
      </c>
      <c r="C69" s="97" t="s">
        <v>344</v>
      </c>
    </row>
    <row r="70" spans="1:3" x14ac:dyDescent="0.25">
      <c r="A70" s="98">
        <v>3</v>
      </c>
      <c r="B70" s="60" t="s">
        <v>383</v>
      </c>
      <c r="C70" s="97" t="s">
        <v>345</v>
      </c>
    </row>
    <row r="71" spans="1:3" x14ac:dyDescent="0.25">
      <c r="A71" s="98">
        <v>3</v>
      </c>
      <c r="B71" s="60" t="s">
        <v>383</v>
      </c>
      <c r="C71" s="97" t="s">
        <v>346</v>
      </c>
    </row>
    <row r="72" spans="1:3" x14ac:dyDescent="0.25">
      <c r="A72" s="98">
        <v>3</v>
      </c>
      <c r="B72" s="60" t="s">
        <v>383</v>
      </c>
      <c r="C72" s="97" t="s">
        <v>347</v>
      </c>
    </row>
    <row r="73" spans="1:3" x14ac:dyDescent="0.25">
      <c r="A73" s="98">
        <v>3</v>
      </c>
      <c r="B73" s="60" t="s">
        <v>384</v>
      </c>
      <c r="C73" s="97" t="s">
        <v>341</v>
      </c>
    </row>
    <row r="74" spans="1:3" x14ac:dyDescent="0.25">
      <c r="A74" s="98">
        <v>3</v>
      </c>
      <c r="B74" s="60" t="s">
        <v>384</v>
      </c>
      <c r="C74" s="97" t="s">
        <v>342</v>
      </c>
    </row>
    <row r="75" spans="1:3" x14ac:dyDescent="0.25">
      <c r="A75" s="97">
        <v>3</v>
      </c>
      <c r="B75" s="60" t="s">
        <v>385</v>
      </c>
      <c r="C75" s="97" t="s">
        <v>357</v>
      </c>
    </row>
    <row r="76" spans="1:3" x14ac:dyDescent="0.25">
      <c r="A76" s="97">
        <v>3</v>
      </c>
      <c r="B76" s="60" t="s">
        <v>385</v>
      </c>
      <c r="C76" s="97" t="s">
        <v>354</v>
      </c>
    </row>
    <row r="77" spans="1:3" x14ac:dyDescent="0.25">
      <c r="A77" s="97">
        <v>3</v>
      </c>
      <c r="B77" s="60" t="s">
        <v>385</v>
      </c>
      <c r="C77" s="97" t="s">
        <v>355</v>
      </c>
    </row>
    <row r="78" spans="1:3" x14ac:dyDescent="0.25">
      <c r="A78" s="97">
        <v>3</v>
      </c>
      <c r="B78" s="60" t="s">
        <v>385</v>
      </c>
      <c r="C78" s="97" t="s">
        <v>356</v>
      </c>
    </row>
    <row r="79" spans="1:3" x14ac:dyDescent="0.25">
      <c r="A79" s="97">
        <v>3</v>
      </c>
      <c r="B79" s="60" t="s">
        <v>386</v>
      </c>
      <c r="C79" s="97" t="s">
        <v>348</v>
      </c>
    </row>
    <row r="80" spans="1:3" ht="15" customHeight="1" x14ac:dyDescent="0.25">
      <c r="A80" s="98">
        <v>3</v>
      </c>
      <c r="B80" s="60" t="s">
        <v>386</v>
      </c>
      <c r="C80" s="97" t="s">
        <v>352</v>
      </c>
    </row>
    <row r="81" spans="1:3" x14ac:dyDescent="0.25">
      <c r="A81" s="98">
        <v>3</v>
      </c>
      <c r="B81" s="60" t="s">
        <v>386</v>
      </c>
      <c r="C81" s="97" t="s">
        <v>353</v>
      </c>
    </row>
    <row r="82" spans="1:3" x14ac:dyDescent="0.25">
      <c r="A82" s="97">
        <v>3</v>
      </c>
      <c r="B82" s="60" t="s">
        <v>386</v>
      </c>
      <c r="C82" s="97" t="s">
        <v>349</v>
      </c>
    </row>
    <row r="83" spans="1:3" x14ac:dyDescent="0.25">
      <c r="A83" s="98">
        <v>3</v>
      </c>
      <c r="B83" s="60" t="s">
        <v>386</v>
      </c>
      <c r="C83" s="97" t="s">
        <v>350</v>
      </c>
    </row>
    <row r="84" spans="1:3" x14ac:dyDescent="0.25">
      <c r="A84" s="98">
        <v>3</v>
      </c>
      <c r="B84" s="60" t="s">
        <v>386</v>
      </c>
      <c r="C84" s="97" t="s">
        <v>351</v>
      </c>
    </row>
    <row r="85" spans="1:3" x14ac:dyDescent="0.25">
      <c r="A85" s="98">
        <v>3</v>
      </c>
      <c r="B85" s="60" t="s">
        <v>388</v>
      </c>
      <c r="C85" s="97" t="s">
        <v>358</v>
      </c>
    </row>
    <row r="86" spans="1:3" x14ac:dyDescent="0.25">
      <c r="A86" s="98">
        <v>4</v>
      </c>
      <c r="B86" s="60" t="s">
        <v>382</v>
      </c>
      <c r="C86" s="97" t="s">
        <v>366</v>
      </c>
    </row>
    <row r="87" spans="1:3" x14ac:dyDescent="0.25">
      <c r="A87" s="98">
        <v>4</v>
      </c>
      <c r="B87" s="60" t="s">
        <v>383</v>
      </c>
      <c r="C87" s="97" t="s">
        <v>360</v>
      </c>
    </row>
    <row r="88" spans="1:3" x14ac:dyDescent="0.25">
      <c r="A88" s="98">
        <v>4</v>
      </c>
      <c r="B88" s="60" t="s">
        <v>383</v>
      </c>
      <c r="C88" s="97" t="s">
        <v>361</v>
      </c>
    </row>
    <row r="89" spans="1:3" x14ac:dyDescent="0.25">
      <c r="A89" s="98">
        <v>4</v>
      </c>
      <c r="B89" s="60" t="s">
        <v>384</v>
      </c>
      <c r="C89" s="97" t="s">
        <v>359</v>
      </c>
    </row>
    <row r="90" spans="1:3" x14ac:dyDescent="0.25">
      <c r="A90" s="98">
        <v>4</v>
      </c>
      <c r="B90" s="60" t="s">
        <v>384</v>
      </c>
      <c r="C90" s="97" t="s">
        <v>361</v>
      </c>
    </row>
    <row r="91" spans="1:3" x14ac:dyDescent="0.25">
      <c r="A91" s="97">
        <v>4</v>
      </c>
      <c r="B91" s="60" t="s">
        <v>385</v>
      </c>
      <c r="C91" s="97" t="s">
        <v>366</v>
      </c>
    </row>
    <row r="92" spans="1:3" x14ac:dyDescent="0.25">
      <c r="A92" s="97">
        <v>4</v>
      </c>
      <c r="B92" s="60" t="s">
        <v>385</v>
      </c>
      <c r="C92" s="97" t="s">
        <v>367</v>
      </c>
    </row>
    <row r="93" spans="1:3" ht="15" customHeight="1" x14ac:dyDescent="0.25">
      <c r="A93" s="98">
        <v>4</v>
      </c>
      <c r="B93" s="60" t="s">
        <v>386</v>
      </c>
      <c r="C93" s="97" t="s">
        <v>362</v>
      </c>
    </row>
    <row r="94" spans="1:3" x14ac:dyDescent="0.25">
      <c r="A94" s="98">
        <v>4</v>
      </c>
      <c r="B94" s="60" t="s">
        <v>386</v>
      </c>
      <c r="C94" s="97" t="s">
        <v>363</v>
      </c>
    </row>
    <row r="95" spans="1:3" x14ac:dyDescent="0.25">
      <c r="A95" s="98">
        <v>4</v>
      </c>
      <c r="B95" s="60" t="s">
        <v>386</v>
      </c>
      <c r="C95" s="97" t="s">
        <v>364</v>
      </c>
    </row>
    <row r="96" spans="1:3" x14ac:dyDescent="0.25">
      <c r="A96" s="98">
        <v>4</v>
      </c>
      <c r="B96" s="60" t="s">
        <v>386</v>
      </c>
      <c r="C96" s="97" t="s">
        <v>365</v>
      </c>
    </row>
    <row r="97" spans="1:3" x14ac:dyDescent="0.25">
      <c r="A97" s="98">
        <v>4</v>
      </c>
      <c r="B97" s="60" t="s">
        <v>388</v>
      </c>
      <c r="C97" s="97" t="s">
        <v>10</v>
      </c>
    </row>
    <row r="98" spans="1:3" x14ac:dyDescent="0.25">
      <c r="A98" s="98">
        <v>5</v>
      </c>
      <c r="B98" s="60" t="s">
        <v>383</v>
      </c>
      <c r="C98" s="97" t="s">
        <v>368</v>
      </c>
    </row>
    <row r="99" spans="1:3" x14ac:dyDescent="0.25">
      <c r="A99" s="98">
        <v>5</v>
      </c>
      <c r="B99" s="60" t="s">
        <v>384</v>
      </c>
      <c r="C99" s="97" t="s">
        <v>369</v>
      </c>
    </row>
    <row r="100" spans="1:3" x14ac:dyDescent="0.25">
      <c r="A100" s="97">
        <v>5</v>
      </c>
      <c r="B100" s="60" t="s">
        <v>385</v>
      </c>
      <c r="C100" s="97" t="s">
        <v>370</v>
      </c>
    </row>
    <row r="101" spans="1:3" x14ac:dyDescent="0.25">
      <c r="A101" s="97">
        <v>5</v>
      </c>
      <c r="B101" s="60" t="s">
        <v>386</v>
      </c>
      <c r="C101" s="97" t="s">
        <v>372</v>
      </c>
    </row>
    <row r="102" spans="1:3" x14ac:dyDescent="0.25">
      <c r="A102" s="97">
        <v>5</v>
      </c>
      <c r="B102" s="60" t="s">
        <v>386</v>
      </c>
      <c r="C102" s="97" t="s">
        <v>371</v>
      </c>
    </row>
    <row r="103" spans="1:3" x14ac:dyDescent="0.25">
      <c r="A103" s="98">
        <v>5</v>
      </c>
      <c r="B103" s="60" t="s">
        <v>386</v>
      </c>
      <c r="C103" s="97" t="s">
        <v>5</v>
      </c>
    </row>
    <row r="104" spans="1:3" x14ac:dyDescent="0.25">
      <c r="A104" s="98">
        <v>5</v>
      </c>
      <c r="B104" s="60" t="s">
        <v>387</v>
      </c>
      <c r="C104" s="97" t="s">
        <v>370</v>
      </c>
    </row>
    <row r="107" spans="1:3" x14ac:dyDescent="0.25">
      <c r="A107" s="101" t="s">
        <v>389</v>
      </c>
      <c r="B107" t="s">
        <v>391</v>
      </c>
      <c r="C107"/>
    </row>
    <row r="108" spans="1:3" x14ac:dyDescent="0.25">
      <c r="A108" s="83">
        <v>0</v>
      </c>
      <c r="B108" s="102">
        <v>7</v>
      </c>
      <c r="C108"/>
    </row>
    <row r="109" spans="1:3" x14ac:dyDescent="0.25">
      <c r="A109" s="83">
        <v>1</v>
      </c>
      <c r="B109" s="102">
        <v>32</v>
      </c>
      <c r="C109"/>
    </row>
    <row r="110" spans="1:3" x14ac:dyDescent="0.25">
      <c r="A110" s="83">
        <v>2</v>
      </c>
      <c r="B110" s="102">
        <v>27</v>
      </c>
      <c r="C110"/>
    </row>
    <row r="111" spans="1:3" x14ac:dyDescent="0.25">
      <c r="A111" s="83">
        <v>3</v>
      </c>
      <c r="B111" s="102">
        <v>18</v>
      </c>
      <c r="C111"/>
    </row>
    <row r="112" spans="1:3" x14ac:dyDescent="0.25">
      <c r="A112" s="83">
        <v>4</v>
      </c>
      <c r="B112" s="102">
        <v>12</v>
      </c>
      <c r="C112"/>
    </row>
    <row r="113" spans="1:3" x14ac:dyDescent="0.25">
      <c r="A113" s="83">
        <v>5</v>
      </c>
      <c r="B113" s="102">
        <v>7</v>
      </c>
      <c r="C113"/>
    </row>
    <row r="114" spans="1:3" x14ac:dyDescent="0.25">
      <c r="A114" s="83" t="s">
        <v>390</v>
      </c>
      <c r="B114" s="102">
        <v>103</v>
      </c>
      <c r="C114"/>
    </row>
    <row r="115" spans="1:3" x14ac:dyDescent="0.25">
      <c r="A115"/>
      <c r="B115"/>
      <c r="C115"/>
    </row>
    <row r="116" spans="1:3" x14ac:dyDescent="0.25">
      <c r="A116"/>
      <c r="B116"/>
      <c r="C116"/>
    </row>
    <row r="117" spans="1:3" x14ac:dyDescent="0.25">
      <c r="A117"/>
      <c r="B117"/>
      <c r="C117"/>
    </row>
    <row r="118" spans="1:3" x14ac:dyDescent="0.25">
      <c r="A118"/>
      <c r="B118"/>
      <c r="C118"/>
    </row>
    <row r="119" spans="1:3" x14ac:dyDescent="0.25">
      <c r="A119"/>
      <c r="B119"/>
      <c r="C119"/>
    </row>
    <row r="120" spans="1:3" x14ac:dyDescent="0.25">
      <c r="A120"/>
      <c r="B120"/>
      <c r="C120"/>
    </row>
    <row r="121" spans="1:3" x14ac:dyDescent="0.25">
      <c r="A121"/>
      <c r="B121"/>
      <c r="C121"/>
    </row>
    <row r="122" spans="1:3" x14ac:dyDescent="0.25">
      <c r="A122"/>
      <c r="B122"/>
      <c r="C122"/>
    </row>
    <row r="123" spans="1:3" x14ac:dyDescent="0.25">
      <c r="A123"/>
      <c r="B123"/>
      <c r="C123"/>
    </row>
    <row r="124" spans="1:3" x14ac:dyDescent="0.25">
      <c r="A124"/>
      <c r="B124"/>
      <c r="C124"/>
    </row>
  </sheetData>
  <sortState ref="A2:C102">
    <sortCondition ref="A2"/>
  </sortState>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J15"/>
  <sheetViews>
    <sheetView showGridLines="0" workbookViewId="0">
      <selection activeCell="M12" sqref="M12"/>
    </sheetView>
  </sheetViews>
  <sheetFormatPr baseColWidth="10" defaultColWidth="8.7109375" defaultRowHeight="15" x14ac:dyDescent="0.25"/>
  <cols>
    <col min="3" max="3" width="3.140625" style="38" customWidth="1"/>
    <col min="4" max="4" width="7.42578125" style="38" customWidth="1"/>
    <col min="5" max="5" width="7.28515625" customWidth="1"/>
  </cols>
  <sheetData>
    <row r="4" spans="3:10" ht="26.25" customHeight="1" x14ac:dyDescent="0.25">
      <c r="C4" s="254" t="s">
        <v>403</v>
      </c>
      <c r="D4" s="255"/>
      <c r="E4" s="252" t="s">
        <v>580</v>
      </c>
      <c r="F4" s="252"/>
      <c r="G4" s="252"/>
      <c r="H4" s="252"/>
      <c r="I4" s="252"/>
      <c r="J4" s="56" t="s">
        <v>404</v>
      </c>
    </row>
    <row r="6" spans="3:10" ht="26.25" customHeight="1" x14ac:dyDescent="0.25">
      <c r="C6" s="249" t="s">
        <v>405</v>
      </c>
      <c r="D6" s="249"/>
      <c r="E6" s="250"/>
      <c r="F6" s="256" t="s">
        <v>581</v>
      </c>
      <c r="G6" s="256"/>
      <c r="H6" s="256"/>
      <c r="I6" s="256"/>
    </row>
    <row r="7" spans="3:10" ht="26.25" customHeight="1" x14ac:dyDescent="0.25">
      <c r="D7" s="249" t="s">
        <v>16</v>
      </c>
      <c r="E7" s="250"/>
      <c r="F7" s="257" t="s">
        <v>605</v>
      </c>
      <c r="G7" s="257"/>
      <c r="H7" s="257"/>
      <c r="I7" s="257"/>
    </row>
    <row r="8" spans="3:10" ht="26.25" customHeight="1" x14ac:dyDescent="0.25">
      <c r="D8" s="249" t="s">
        <v>17</v>
      </c>
      <c r="E8" s="250"/>
      <c r="F8" s="257" t="s">
        <v>606</v>
      </c>
      <c r="G8" s="257"/>
      <c r="H8" s="257"/>
      <c r="I8" s="257"/>
    </row>
    <row r="9" spans="3:10" x14ac:dyDescent="0.25">
      <c r="E9" s="39"/>
      <c r="F9" s="38"/>
      <c r="G9" s="38"/>
      <c r="H9" s="38"/>
      <c r="I9" s="38"/>
    </row>
    <row r="10" spans="3:10" ht="26.25" customHeight="1" x14ac:dyDescent="0.25">
      <c r="C10" s="249" t="s">
        <v>405</v>
      </c>
      <c r="D10" s="249"/>
      <c r="E10" s="250"/>
      <c r="F10" s="251" t="s">
        <v>607</v>
      </c>
      <c r="G10" s="251"/>
      <c r="H10" s="251"/>
      <c r="I10" s="251"/>
    </row>
    <row r="11" spans="3:10" ht="26.25" customHeight="1" x14ac:dyDescent="0.25">
      <c r="D11" s="249" t="s">
        <v>16</v>
      </c>
      <c r="E11" s="250"/>
      <c r="F11" s="251" t="s">
        <v>608</v>
      </c>
      <c r="G11" s="251"/>
      <c r="H11" s="251"/>
      <c r="I11" s="251"/>
    </row>
    <row r="12" spans="3:10" ht="26.25" customHeight="1" x14ac:dyDescent="0.25">
      <c r="D12" s="249" t="s">
        <v>17</v>
      </c>
      <c r="E12" s="250"/>
      <c r="F12" s="251" t="s">
        <v>609</v>
      </c>
      <c r="G12" s="251"/>
      <c r="H12" s="251"/>
      <c r="I12" s="251"/>
    </row>
    <row r="13" spans="3:10" x14ac:dyDescent="0.25">
      <c r="E13" s="39"/>
      <c r="F13" s="38"/>
      <c r="G13" s="38"/>
      <c r="H13" s="38"/>
      <c r="I13" s="38"/>
    </row>
    <row r="14" spans="3:10" ht="26.25" customHeight="1" x14ac:dyDescent="0.25">
      <c r="C14" s="249" t="s">
        <v>406</v>
      </c>
      <c r="D14" s="249"/>
      <c r="E14" s="250"/>
      <c r="F14" s="253">
        <v>42550</v>
      </c>
      <c r="G14" s="253"/>
      <c r="H14" s="253"/>
      <c r="I14" s="253"/>
    </row>
    <row r="15" spans="3:10" x14ac:dyDescent="0.25">
      <c r="F15" s="40"/>
      <c r="G15" s="40"/>
      <c r="H15" s="40"/>
      <c r="I15" s="40"/>
    </row>
  </sheetData>
  <sheetProtection password="CAED"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7"/>
  <sheetViews>
    <sheetView workbookViewId="0">
      <selection activeCell="B22" sqref="B22"/>
    </sheetView>
  </sheetViews>
  <sheetFormatPr baseColWidth="10" defaultColWidth="8.7109375" defaultRowHeight="15" x14ac:dyDescent="0.25"/>
  <cols>
    <col min="1" max="1" width="24.42578125" bestFit="1" customWidth="1"/>
  </cols>
  <sheetData>
    <row r="1" spans="1:1" x14ac:dyDescent="0.25">
      <c r="A1" t="s">
        <v>18</v>
      </c>
    </row>
    <row r="2" spans="1:1" x14ac:dyDescent="0.25">
      <c r="A2" t="s">
        <v>19</v>
      </c>
    </row>
    <row r="3" spans="1:1" x14ac:dyDescent="0.25">
      <c r="A3" t="s">
        <v>20</v>
      </c>
    </row>
    <row r="4" spans="1:1" x14ac:dyDescent="0.25">
      <c r="A4" t="s">
        <v>21</v>
      </c>
    </row>
    <row r="5" spans="1:1" x14ac:dyDescent="0.25">
      <c r="A5" t="s">
        <v>22</v>
      </c>
    </row>
    <row r="6" spans="1:1" x14ac:dyDescent="0.25">
      <c r="A6" t="s">
        <v>23</v>
      </c>
    </row>
    <row r="7" spans="1:1" x14ac:dyDescent="0.25">
      <c r="A7" t="s">
        <v>24</v>
      </c>
    </row>
    <row r="8" spans="1:1" x14ac:dyDescent="0.25">
      <c r="A8" t="s">
        <v>25</v>
      </c>
    </row>
    <row r="9" spans="1:1" x14ac:dyDescent="0.25">
      <c r="A9" t="s">
        <v>26</v>
      </c>
    </row>
    <row r="10" spans="1:1" x14ac:dyDescent="0.25">
      <c r="A10" t="s">
        <v>27</v>
      </c>
    </row>
    <row r="11" spans="1:1" x14ac:dyDescent="0.25">
      <c r="A11" t="s">
        <v>28</v>
      </c>
    </row>
    <row r="12" spans="1:1" x14ac:dyDescent="0.25">
      <c r="A12" t="s">
        <v>29</v>
      </c>
    </row>
    <row r="13" spans="1:1" x14ac:dyDescent="0.25">
      <c r="A13" t="s">
        <v>30</v>
      </c>
    </row>
    <row r="14" spans="1:1" x14ac:dyDescent="0.25">
      <c r="A14" t="s">
        <v>31</v>
      </c>
    </row>
    <row r="15" spans="1:1" x14ac:dyDescent="0.25">
      <c r="A15" t="s">
        <v>32</v>
      </c>
    </row>
    <row r="16" spans="1:1" x14ac:dyDescent="0.25">
      <c r="A16" t="s">
        <v>33</v>
      </c>
    </row>
    <row r="17" spans="1:1" x14ac:dyDescent="0.25">
      <c r="A17" t="s">
        <v>34</v>
      </c>
    </row>
    <row r="18" spans="1:1" x14ac:dyDescent="0.25">
      <c r="A18" t="s">
        <v>35</v>
      </c>
    </row>
    <row r="19" spans="1:1" x14ac:dyDescent="0.25">
      <c r="A19" t="s">
        <v>36</v>
      </c>
    </row>
    <row r="20" spans="1:1" x14ac:dyDescent="0.25">
      <c r="A20" t="s">
        <v>37</v>
      </c>
    </row>
    <row r="21" spans="1:1" x14ac:dyDescent="0.25">
      <c r="A21" t="s">
        <v>38</v>
      </c>
    </row>
    <row r="22" spans="1:1" x14ac:dyDescent="0.25">
      <c r="A22" t="s">
        <v>39</v>
      </c>
    </row>
    <row r="23" spans="1:1" x14ac:dyDescent="0.25">
      <c r="A23" t="s">
        <v>40</v>
      </c>
    </row>
    <row r="24" spans="1:1" x14ac:dyDescent="0.25">
      <c r="A24" t="s">
        <v>41</v>
      </c>
    </row>
    <row r="25" spans="1:1" x14ac:dyDescent="0.25">
      <c r="A25" t="s">
        <v>42</v>
      </c>
    </row>
    <row r="26" spans="1:1" x14ac:dyDescent="0.25">
      <c r="A26" t="s">
        <v>43</v>
      </c>
    </row>
    <row r="27" spans="1:1" x14ac:dyDescent="0.25">
      <c r="A27" t="s">
        <v>44</v>
      </c>
    </row>
    <row r="28" spans="1:1" x14ac:dyDescent="0.25">
      <c r="A28" t="s">
        <v>45</v>
      </c>
    </row>
    <row r="29" spans="1:1" x14ac:dyDescent="0.25">
      <c r="A29" t="s">
        <v>46</v>
      </c>
    </row>
    <row r="30" spans="1:1" x14ac:dyDescent="0.25">
      <c r="A30" t="s">
        <v>47</v>
      </c>
    </row>
    <row r="31" spans="1:1" x14ac:dyDescent="0.25">
      <c r="A31" t="s">
        <v>48</v>
      </c>
    </row>
    <row r="32" spans="1:1" x14ac:dyDescent="0.25">
      <c r="A32" t="s">
        <v>49</v>
      </c>
    </row>
    <row r="33" spans="1:1" x14ac:dyDescent="0.25">
      <c r="A33" t="s">
        <v>50</v>
      </c>
    </row>
    <row r="34" spans="1:1" x14ac:dyDescent="0.25">
      <c r="A34" t="s">
        <v>51</v>
      </c>
    </row>
    <row r="35" spans="1:1" x14ac:dyDescent="0.25">
      <c r="A35" t="s">
        <v>52</v>
      </c>
    </row>
    <row r="36" spans="1:1" x14ac:dyDescent="0.25">
      <c r="A36" t="s">
        <v>53</v>
      </c>
    </row>
    <row r="37" spans="1:1" x14ac:dyDescent="0.25">
      <c r="A37" t="s">
        <v>54</v>
      </c>
    </row>
    <row r="38" spans="1:1" x14ac:dyDescent="0.25">
      <c r="A38" t="s">
        <v>55</v>
      </c>
    </row>
    <row r="39" spans="1:1" x14ac:dyDescent="0.25">
      <c r="A39" t="s">
        <v>56</v>
      </c>
    </row>
    <row r="40" spans="1:1" x14ac:dyDescent="0.25">
      <c r="A40" t="s">
        <v>57</v>
      </c>
    </row>
    <row r="41" spans="1:1" x14ac:dyDescent="0.25">
      <c r="A41" t="s">
        <v>58</v>
      </c>
    </row>
    <row r="42" spans="1:1" x14ac:dyDescent="0.25">
      <c r="A42" t="s">
        <v>59</v>
      </c>
    </row>
    <row r="43" spans="1:1" x14ac:dyDescent="0.25">
      <c r="A43" t="s">
        <v>60</v>
      </c>
    </row>
    <row r="44" spans="1:1" x14ac:dyDescent="0.25">
      <c r="A44" t="s">
        <v>61</v>
      </c>
    </row>
    <row r="45" spans="1:1" x14ac:dyDescent="0.25">
      <c r="A45" t="s">
        <v>62</v>
      </c>
    </row>
    <row r="46" spans="1:1" x14ac:dyDescent="0.25">
      <c r="A46" t="s">
        <v>63</v>
      </c>
    </row>
    <row r="47" spans="1:1" x14ac:dyDescent="0.25">
      <c r="A47" t="s">
        <v>64</v>
      </c>
    </row>
    <row r="48" spans="1:1" x14ac:dyDescent="0.25">
      <c r="A48" t="s">
        <v>65</v>
      </c>
    </row>
    <row r="49" spans="1:1" x14ac:dyDescent="0.25">
      <c r="A49" t="s">
        <v>66</v>
      </c>
    </row>
    <row r="50" spans="1:1" x14ac:dyDescent="0.25">
      <c r="A50" t="s">
        <v>67</v>
      </c>
    </row>
    <row r="51" spans="1:1" x14ac:dyDescent="0.25">
      <c r="A51" t="s">
        <v>68</v>
      </c>
    </row>
    <row r="52" spans="1:1" x14ac:dyDescent="0.25">
      <c r="A52" t="s">
        <v>69</v>
      </c>
    </row>
    <row r="53" spans="1:1" x14ac:dyDescent="0.25">
      <c r="A53" t="s">
        <v>70</v>
      </c>
    </row>
    <row r="54" spans="1:1" x14ac:dyDescent="0.25">
      <c r="A54" t="s">
        <v>71</v>
      </c>
    </row>
    <row r="55" spans="1:1" x14ac:dyDescent="0.25">
      <c r="A55" t="s">
        <v>72</v>
      </c>
    </row>
    <row r="56" spans="1:1" x14ac:dyDescent="0.25">
      <c r="A56" t="s">
        <v>73</v>
      </c>
    </row>
    <row r="57" spans="1:1" x14ac:dyDescent="0.25">
      <c r="A57" t="s">
        <v>74</v>
      </c>
    </row>
    <row r="58" spans="1:1" x14ac:dyDescent="0.25">
      <c r="A58" t="s">
        <v>75</v>
      </c>
    </row>
    <row r="59" spans="1:1" x14ac:dyDescent="0.25">
      <c r="A59" t="s">
        <v>76</v>
      </c>
    </row>
    <row r="60" spans="1:1" x14ac:dyDescent="0.25">
      <c r="A60" t="s">
        <v>77</v>
      </c>
    </row>
    <row r="61" spans="1:1" x14ac:dyDescent="0.25">
      <c r="A61" t="s">
        <v>78</v>
      </c>
    </row>
    <row r="62" spans="1:1" x14ac:dyDescent="0.25">
      <c r="A62" t="s">
        <v>79</v>
      </c>
    </row>
    <row r="63" spans="1:1" x14ac:dyDescent="0.25">
      <c r="A63" t="s">
        <v>80</v>
      </c>
    </row>
    <row r="64" spans="1:1" x14ac:dyDescent="0.25">
      <c r="A64" t="s">
        <v>81</v>
      </c>
    </row>
    <row r="65" spans="1:1" x14ac:dyDescent="0.25">
      <c r="A65" t="s">
        <v>82</v>
      </c>
    </row>
    <row r="66" spans="1:1" x14ac:dyDescent="0.25">
      <c r="A66" t="s">
        <v>83</v>
      </c>
    </row>
    <row r="67" spans="1:1" x14ac:dyDescent="0.25">
      <c r="A67" t="s">
        <v>84</v>
      </c>
    </row>
    <row r="68" spans="1:1" x14ac:dyDescent="0.25">
      <c r="A68" t="s">
        <v>85</v>
      </c>
    </row>
    <row r="69" spans="1:1" x14ac:dyDescent="0.25">
      <c r="A69" t="s">
        <v>86</v>
      </c>
    </row>
    <row r="70" spans="1:1" x14ac:dyDescent="0.25">
      <c r="A70" t="s">
        <v>87</v>
      </c>
    </row>
    <row r="71" spans="1:1" x14ac:dyDescent="0.25">
      <c r="A71" t="s">
        <v>88</v>
      </c>
    </row>
    <row r="72" spans="1:1" x14ac:dyDescent="0.25">
      <c r="A72" t="s">
        <v>89</v>
      </c>
    </row>
    <row r="73" spans="1:1" x14ac:dyDescent="0.25">
      <c r="A73" t="s">
        <v>90</v>
      </c>
    </row>
    <row r="74" spans="1:1" x14ac:dyDescent="0.25">
      <c r="A74" t="s">
        <v>91</v>
      </c>
    </row>
    <row r="75" spans="1:1" x14ac:dyDescent="0.25">
      <c r="A75" t="s">
        <v>92</v>
      </c>
    </row>
    <row r="76" spans="1:1" x14ac:dyDescent="0.25">
      <c r="A76" t="s">
        <v>93</v>
      </c>
    </row>
    <row r="77" spans="1:1" x14ac:dyDescent="0.25">
      <c r="A77" t="s">
        <v>94</v>
      </c>
    </row>
    <row r="78" spans="1:1" x14ac:dyDescent="0.25">
      <c r="A78" t="s">
        <v>95</v>
      </c>
    </row>
    <row r="79" spans="1:1" x14ac:dyDescent="0.25">
      <c r="A79" t="s">
        <v>96</v>
      </c>
    </row>
    <row r="80" spans="1:1" x14ac:dyDescent="0.25">
      <c r="A80" t="s">
        <v>97</v>
      </c>
    </row>
    <row r="81" spans="1:1" x14ac:dyDescent="0.25">
      <c r="A81" t="s">
        <v>98</v>
      </c>
    </row>
    <row r="82" spans="1:1" x14ac:dyDescent="0.25">
      <c r="A82" t="s">
        <v>99</v>
      </c>
    </row>
    <row r="83" spans="1:1" x14ac:dyDescent="0.25">
      <c r="A83" t="s">
        <v>100</v>
      </c>
    </row>
    <row r="84" spans="1:1" x14ac:dyDescent="0.25">
      <c r="A84" t="s">
        <v>101</v>
      </c>
    </row>
    <row r="85" spans="1:1" x14ac:dyDescent="0.25">
      <c r="A85" t="s">
        <v>102</v>
      </c>
    </row>
    <row r="86" spans="1:1" x14ac:dyDescent="0.25">
      <c r="A86" t="s">
        <v>103</v>
      </c>
    </row>
    <row r="87" spans="1:1" x14ac:dyDescent="0.25">
      <c r="A87" t="s">
        <v>104</v>
      </c>
    </row>
    <row r="88" spans="1:1" x14ac:dyDescent="0.25">
      <c r="A88" t="s">
        <v>105</v>
      </c>
    </row>
    <row r="89" spans="1:1" x14ac:dyDescent="0.25">
      <c r="A89" t="s">
        <v>106</v>
      </c>
    </row>
    <row r="90" spans="1:1" x14ac:dyDescent="0.25">
      <c r="A90" t="s">
        <v>107</v>
      </c>
    </row>
    <row r="91" spans="1:1" x14ac:dyDescent="0.25">
      <c r="A91" t="s">
        <v>108</v>
      </c>
    </row>
    <row r="92" spans="1:1" x14ac:dyDescent="0.25">
      <c r="A92" t="s">
        <v>109</v>
      </c>
    </row>
    <row r="93" spans="1:1" x14ac:dyDescent="0.25">
      <c r="A93" t="s">
        <v>110</v>
      </c>
    </row>
    <row r="94" spans="1:1" x14ac:dyDescent="0.25">
      <c r="A94" t="s">
        <v>111</v>
      </c>
    </row>
    <row r="95" spans="1:1" x14ac:dyDescent="0.25">
      <c r="A95" t="s">
        <v>112</v>
      </c>
    </row>
    <row r="96" spans="1:1" x14ac:dyDescent="0.25">
      <c r="A96" t="s">
        <v>113</v>
      </c>
    </row>
    <row r="97" spans="1:1" x14ac:dyDescent="0.25">
      <c r="A97" t="s">
        <v>114</v>
      </c>
    </row>
    <row r="98" spans="1:1" x14ac:dyDescent="0.25">
      <c r="A98" t="s">
        <v>115</v>
      </c>
    </row>
    <row r="99" spans="1:1" x14ac:dyDescent="0.25">
      <c r="A99" t="s">
        <v>116</v>
      </c>
    </row>
    <row r="100" spans="1:1" x14ac:dyDescent="0.25">
      <c r="A100" t="s">
        <v>117</v>
      </c>
    </row>
    <row r="101" spans="1:1" x14ac:dyDescent="0.25">
      <c r="A101" t="s">
        <v>118</v>
      </c>
    </row>
    <row r="102" spans="1:1" x14ac:dyDescent="0.25">
      <c r="A102" t="s">
        <v>119</v>
      </c>
    </row>
    <row r="103" spans="1:1" x14ac:dyDescent="0.25">
      <c r="A103" t="s">
        <v>120</v>
      </c>
    </row>
    <row r="104" spans="1:1" x14ac:dyDescent="0.25">
      <c r="A104" t="s">
        <v>121</v>
      </c>
    </row>
    <row r="105" spans="1:1" x14ac:dyDescent="0.25">
      <c r="A105" t="s">
        <v>122</v>
      </c>
    </row>
    <row r="106" spans="1:1" x14ac:dyDescent="0.25">
      <c r="A106" t="s">
        <v>123</v>
      </c>
    </row>
    <row r="107" spans="1:1" x14ac:dyDescent="0.25">
      <c r="A107" t="s">
        <v>124</v>
      </c>
    </row>
    <row r="108" spans="1:1" x14ac:dyDescent="0.25">
      <c r="A108" t="s">
        <v>125</v>
      </c>
    </row>
    <row r="109" spans="1:1" x14ac:dyDescent="0.25">
      <c r="A109" t="s">
        <v>126</v>
      </c>
    </row>
    <row r="110" spans="1:1" x14ac:dyDescent="0.25">
      <c r="A110" t="s">
        <v>127</v>
      </c>
    </row>
    <row r="111" spans="1:1" x14ac:dyDescent="0.25">
      <c r="A111" t="s">
        <v>128</v>
      </c>
    </row>
    <row r="112" spans="1:1" x14ac:dyDescent="0.25">
      <c r="A112" t="s">
        <v>129</v>
      </c>
    </row>
    <row r="113" spans="1:1" x14ac:dyDescent="0.25">
      <c r="A113" t="s">
        <v>130</v>
      </c>
    </row>
    <row r="114" spans="1:1" x14ac:dyDescent="0.25">
      <c r="A114" t="s">
        <v>131</v>
      </c>
    </row>
    <row r="115" spans="1:1" x14ac:dyDescent="0.25">
      <c r="A115" t="s">
        <v>132</v>
      </c>
    </row>
    <row r="116" spans="1:1" x14ac:dyDescent="0.25">
      <c r="A116" t="s">
        <v>133</v>
      </c>
    </row>
    <row r="117" spans="1:1" x14ac:dyDescent="0.25">
      <c r="A117" t="s">
        <v>134</v>
      </c>
    </row>
    <row r="118" spans="1:1" x14ac:dyDescent="0.25">
      <c r="A118" t="s">
        <v>135</v>
      </c>
    </row>
    <row r="119" spans="1:1" x14ac:dyDescent="0.25">
      <c r="A119" t="s">
        <v>136</v>
      </c>
    </row>
    <row r="120" spans="1:1" x14ac:dyDescent="0.25">
      <c r="A120" t="s">
        <v>137</v>
      </c>
    </row>
    <row r="121" spans="1:1" x14ac:dyDescent="0.25">
      <c r="A121" t="s">
        <v>138</v>
      </c>
    </row>
    <row r="122" spans="1:1" x14ac:dyDescent="0.25">
      <c r="A122" t="s">
        <v>139</v>
      </c>
    </row>
    <row r="123" spans="1:1" x14ac:dyDescent="0.25">
      <c r="A123" t="s">
        <v>140</v>
      </c>
    </row>
    <row r="124" spans="1:1" x14ac:dyDescent="0.25">
      <c r="A124" t="s">
        <v>141</v>
      </c>
    </row>
    <row r="125" spans="1:1" x14ac:dyDescent="0.25">
      <c r="A125" t="s">
        <v>142</v>
      </c>
    </row>
    <row r="126" spans="1:1" x14ac:dyDescent="0.25">
      <c r="A126" t="s">
        <v>143</v>
      </c>
    </row>
    <row r="127" spans="1:1" x14ac:dyDescent="0.25">
      <c r="A127" t="s">
        <v>144</v>
      </c>
    </row>
    <row r="128" spans="1:1" x14ac:dyDescent="0.25">
      <c r="A128" t="s">
        <v>145</v>
      </c>
    </row>
    <row r="129" spans="1:1" x14ac:dyDescent="0.25">
      <c r="A129" t="s">
        <v>146</v>
      </c>
    </row>
    <row r="130" spans="1:1" x14ac:dyDescent="0.25">
      <c r="A130" t="s">
        <v>147</v>
      </c>
    </row>
    <row r="131" spans="1:1" x14ac:dyDescent="0.25">
      <c r="A131" t="s">
        <v>148</v>
      </c>
    </row>
    <row r="132" spans="1:1" x14ac:dyDescent="0.25">
      <c r="A132" t="s">
        <v>149</v>
      </c>
    </row>
    <row r="133" spans="1:1" x14ac:dyDescent="0.25">
      <c r="A133" t="s">
        <v>150</v>
      </c>
    </row>
    <row r="134" spans="1:1" x14ac:dyDescent="0.25">
      <c r="A134" t="s">
        <v>151</v>
      </c>
    </row>
    <row r="135" spans="1:1" x14ac:dyDescent="0.25">
      <c r="A135" t="s">
        <v>152</v>
      </c>
    </row>
    <row r="136" spans="1:1" x14ac:dyDescent="0.25">
      <c r="A136" t="s">
        <v>153</v>
      </c>
    </row>
    <row r="137" spans="1:1" x14ac:dyDescent="0.25">
      <c r="A137" t="s">
        <v>154</v>
      </c>
    </row>
    <row r="138" spans="1:1" x14ac:dyDescent="0.25">
      <c r="A138" t="s">
        <v>155</v>
      </c>
    </row>
    <row r="139" spans="1:1" x14ac:dyDescent="0.25">
      <c r="A139" t="s">
        <v>156</v>
      </c>
    </row>
    <row r="140" spans="1:1" x14ac:dyDescent="0.25">
      <c r="A140" t="s">
        <v>157</v>
      </c>
    </row>
    <row r="141" spans="1:1" x14ac:dyDescent="0.25">
      <c r="A141" t="s">
        <v>158</v>
      </c>
    </row>
    <row r="142" spans="1:1" x14ac:dyDescent="0.25">
      <c r="A142" t="s">
        <v>159</v>
      </c>
    </row>
    <row r="143" spans="1:1" x14ac:dyDescent="0.25">
      <c r="A143" t="s">
        <v>160</v>
      </c>
    </row>
    <row r="144" spans="1:1" x14ac:dyDescent="0.25">
      <c r="A144" t="s">
        <v>161</v>
      </c>
    </row>
    <row r="145" spans="1:1" x14ac:dyDescent="0.25">
      <c r="A145" t="s">
        <v>162</v>
      </c>
    </row>
    <row r="146" spans="1:1" x14ac:dyDescent="0.25">
      <c r="A146" t="s">
        <v>163</v>
      </c>
    </row>
    <row r="147" spans="1:1" x14ac:dyDescent="0.25">
      <c r="A147" t="s">
        <v>164</v>
      </c>
    </row>
    <row r="148" spans="1:1" x14ac:dyDescent="0.25">
      <c r="A148" t="s">
        <v>165</v>
      </c>
    </row>
    <row r="149" spans="1:1" x14ac:dyDescent="0.25">
      <c r="A149" t="s">
        <v>166</v>
      </c>
    </row>
    <row r="150" spans="1:1" x14ac:dyDescent="0.25">
      <c r="A150" t="s">
        <v>167</v>
      </c>
    </row>
    <row r="151" spans="1:1" x14ac:dyDescent="0.25">
      <c r="A151" t="s">
        <v>168</v>
      </c>
    </row>
    <row r="152" spans="1:1" x14ac:dyDescent="0.25">
      <c r="A152" t="s">
        <v>169</v>
      </c>
    </row>
    <row r="153" spans="1:1" x14ac:dyDescent="0.25">
      <c r="A153" t="s">
        <v>170</v>
      </c>
    </row>
    <row r="154" spans="1:1" x14ac:dyDescent="0.25">
      <c r="A154" t="s">
        <v>171</v>
      </c>
    </row>
    <row r="155" spans="1:1" x14ac:dyDescent="0.25">
      <c r="A155" t="s">
        <v>172</v>
      </c>
    </row>
    <row r="156" spans="1:1" x14ac:dyDescent="0.25">
      <c r="A156" t="s">
        <v>173</v>
      </c>
    </row>
    <row r="157" spans="1:1" x14ac:dyDescent="0.25">
      <c r="A157" t="s">
        <v>174</v>
      </c>
    </row>
    <row r="158" spans="1:1" x14ac:dyDescent="0.25">
      <c r="A158" t="s">
        <v>175</v>
      </c>
    </row>
    <row r="159" spans="1:1" x14ac:dyDescent="0.25">
      <c r="A159" t="s">
        <v>176</v>
      </c>
    </row>
    <row r="160" spans="1:1" x14ac:dyDescent="0.25">
      <c r="A160" t="s">
        <v>177</v>
      </c>
    </row>
    <row r="161" spans="1:1" x14ac:dyDescent="0.25">
      <c r="A161" t="s">
        <v>178</v>
      </c>
    </row>
    <row r="162" spans="1:1" x14ac:dyDescent="0.25">
      <c r="A162" t="s">
        <v>179</v>
      </c>
    </row>
    <row r="163" spans="1:1" x14ac:dyDescent="0.25">
      <c r="A163" t="s">
        <v>180</v>
      </c>
    </row>
    <row r="164" spans="1:1" x14ac:dyDescent="0.25">
      <c r="A164" t="s">
        <v>181</v>
      </c>
    </row>
    <row r="165" spans="1:1" x14ac:dyDescent="0.25">
      <c r="A165" t="s">
        <v>182</v>
      </c>
    </row>
    <row r="166" spans="1:1" x14ac:dyDescent="0.25">
      <c r="A166" t="s">
        <v>183</v>
      </c>
    </row>
    <row r="167" spans="1:1" x14ac:dyDescent="0.25">
      <c r="A167" t="s">
        <v>184</v>
      </c>
    </row>
    <row r="168" spans="1:1" x14ac:dyDescent="0.25">
      <c r="A168" t="s">
        <v>185</v>
      </c>
    </row>
    <row r="169" spans="1:1" x14ac:dyDescent="0.25">
      <c r="A169" t="s">
        <v>186</v>
      </c>
    </row>
    <row r="170" spans="1:1" x14ac:dyDescent="0.25">
      <c r="A170" t="s">
        <v>187</v>
      </c>
    </row>
    <row r="171" spans="1:1" x14ac:dyDescent="0.25">
      <c r="A171" t="s">
        <v>188</v>
      </c>
    </row>
    <row r="172" spans="1:1" x14ac:dyDescent="0.25">
      <c r="A172" t="s">
        <v>189</v>
      </c>
    </row>
    <row r="173" spans="1:1" x14ac:dyDescent="0.25">
      <c r="A173" t="s">
        <v>190</v>
      </c>
    </row>
    <row r="174" spans="1:1" x14ac:dyDescent="0.25">
      <c r="A174" t="s">
        <v>191</v>
      </c>
    </row>
    <row r="175" spans="1:1" x14ac:dyDescent="0.25">
      <c r="A175" t="s">
        <v>192</v>
      </c>
    </row>
    <row r="176" spans="1:1" x14ac:dyDescent="0.25">
      <c r="A176" t="s">
        <v>193</v>
      </c>
    </row>
    <row r="177" spans="1:1" x14ac:dyDescent="0.25">
      <c r="A177" t="s">
        <v>194</v>
      </c>
    </row>
    <row r="178" spans="1:1" x14ac:dyDescent="0.25">
      <c r="A178" t="s">
        <v>195</v>
      </c>
    </row>
    <row r="179" spans="1:1" x14ac:dyDescent="0.25">
      <c r="A179" t="s">
        <v>196</v>
      </c>
    </row>
    <row r="180" spans="1:1" x14ac:dyDescent="0.25">
      <c r="A180" t="s">
        <v>197</v>
      </c>
    </row>
    <row r="181" spans="1:1" x14ac:dyDescent="0.25">
      <c r="A181" t="s">
        <v>198</v>
      </c>
    </row>
    <row r="182" spans="1:1" x14ac:dyDescent="0.25">
      <c r="A182" t="s">
        <v>199</v>
      </c>
    </row>
    <row r="183" spans="1:1" x14ac:dyDescent="0.25">
      <c r="A183" t="s">
        <v>200</v>
      </c>
    </row>
    <row r="184" spans="1:1" x14ac:dyDescent="0.25">
      <c r="A184" t="s">
        <v>201</v>
      </c>
    </row>
    <row r="185" spans="1:1" x14ac:dyDescent="0.25">
      <c r="A185" t="s">
        <v>202</v>
      </c>
    </row>
    <row r="186" spans="1:1" x14ac:dyDescent="0.25">
      <c r="A186" t="s">
        <v>203</v>
      </c>
    </row>
    <row r="187" spans="1:1" x14ac:dyDescent="0.25">
      <c r="A187" t="s">
        <v>204</v>
      </c>
    </row>
    <row r="188" spans="1:1" x14ac:dyDescent="0.25">
      <c r="A188" t="s">
        <v>205</v>
      </c>
    </row>
    <row r="189" spans="1:1" x14ac:dyDescent="0.25">
      <c r="A189" t="s">
        <v>206</v>
      </c>
    </row>
    <row r="190" spans="1:1" x14ac:dyDescent="0.25">
      <c r="A190" t="s">
        <v>207</v>
      </c>
    </row>
    <row r="191" spans="1:1" x14ac:dyDescent="0.25">
      <c r="A191" t="s">
        <v>208</v>
      </c>
    </row>
    <row r="192" spans="1:1" x14ac:dyDescent="0.25">
      <c r="A192" t="s">
        <v>209</v>
      </c>
    </row>
    <row r="193" spans="1:1" x14ac:dyDescent="0.25">
      <c r="A193" t="s">
        <v>210</v>
      </c>
    </row>
    <row r="194" spans="1:1" x14ac:dyDescent="0.25">
      <c r="A194" t="s">
        <v>211</v>
      </c>
    </row>
    <row r="195" spans="1:1" x14ac:dyDescent="0.25">
      <c r="A195" t="s">
        <v>212</v>
      </c>
    </row>
    <row r="196" spans="1:1" x14ac:dyDescent="0.25">
      <c r="A196" t="s">
        <v>213</v>
      </c>
    </row>
    <row r="197" spans="1:1" x14ac:dyDescent="0.25">
      <c r="A197" t="s">
        <v>214</v>
      </c>
    </row>
    <row r="198" spans="1:1" x14ac:dyDescent="0.25">
      <c r="A198" t="s">
        <v>215</v>
      </c>
    </row>
    <row r="199" spans="1:1" x14ac:dyDescent="0.25">
      <c r="A199" t="s">
        <v>216</v>
      </c>
    </row>
    <row r="200" spans="1:1" x14ac:dyDescent="0.25">
      <c r="A200" t="s">
        <v>217</v>
      </c>
    </row>
    <row r="201" spans="1:1" x14ac:dyDescent="0.25">
      <c r="A201" t="s">
        <v>218</v>
      </c>
    </row>
    <row r="202" spans="1:1" x14ac:dyDescent="0.25">
      <c r="A202" t="s">
        <v>219</v>
      </c>
    </row>
    <row r="203" spans="1:1" x14ac:dyDescent="0.25">
      <c r="A203" t="s">
        <v>220</v>
      </c>
    </row>
    <row r="204" spans="1:1" x14ac:dyDescent="0.25">
      <c r="A204" t="s">
        <v>221</v>
      </c>
    </row>
    <row r="205" spans="1:1" x14ac:dyDescent="0.25">
      <c r="A205" t="s">
        <v>222</v>
      </c>
    </row>
    <row r="206" spans="1:1" x14ac:dyDescent="0.25">
      <c r="A206" t="s">
        <v>223</v>
      </c>
    </row>
    <row r="207" spans="1:1" x14ac:dyDescent="0.25">
      <c r="A207" t="s">
        <v>224</v>
      </c>
    </row>
    <row r="208" spans="1:1" x14ac:dyDescent="0.25">
      <c r="A208" t="s">
        <v>225</v>
      </c>
    </row>
    <row r="209" spans="1:1" x14ac:dyDescent="0.25">
      <c r="A209" t="s">
        <v>226</v>
      </c>
    </row>
    <row r="210" spans="1:1" x14ac:dyDescent="0.25">
      <c r="A210" t="s">
        <v>227</v>
      </c>
    </row>
    <row r="211" spans="1:1" x14ac:dyDescent="0.25">
      <c r="A211" t="s">
        <v>228</v>
      </c>
    </row>
    <row r="212" spans="1:1" x14ac:dyDescent="0.25">
      <c r="A212" t="s">
        <v>229</v>
      </c>
    </row>
    <row r="213" spans="1:1" x14ac:dyDescent="0.25">
      <c r="A213" t="s">
        <v>230</v>
      </c>
    </row>
    <row r="214" spans="1:1" x14ac:dyDescent="0.25">
      <c r="A214" t="s">
        <v>231</v>
      </c>
    </row>
    <row r="215" spans="1:1" x14ac:dyDescent="0.25">
      <c r="A215" t="s">
        <v>232</v>
      </c>
    </row>
    <row r="216" spans="1:1" x14ac:dyDescent="0.25">
      <c r="A216" t="s">
        <v>233</v>
      </c>
    </row>
    <row r="217" spans="1:1" x14ac:dyDescent="0.25">
      <c r="A217" t="s">
        <v>234</v>
      </c>
    </row>
    <row r="218" spans="1:1" x14ac:dyDescent="0.25">
      <c r="A218" t="s">
        <v>235</v>
      </c>
    </row>
    <row r="219" spans="1:1" x14ac:dyDescent="0.25">
      <c r="A219" t="s">
        <v>236</v>
      </c>
    </row>
    <row r="220" spans="1:1" x14ac:dyDescent="0.25">
      <c r="A220" t="s">
        <v>237</v>
      </c>
    </row>
    <row r="221" spans="1:1" x14ac:dyDescent="0.25">
      <c r="A221" t="s">
        <v>238</v>
      </c>
    </row>
    <row r="222" spans="1:1" x14ac:dyDescent="0.25">
      <c r="A222" t="s">
        <v>239</v>
      </c>
    </row>
    <row r="223" spans="1:1" x14ac:dyDescent="0.25">
      <c r="A223" t="s">
        <v>240</v>
      </c>
    </row>
    <row r="224" spans="1:1" x14ac:dyDescent="0.25">
      <c r="A224" t="s">
        <v>241</v>
      </c>
    </row>
    <row r="225" spans="1:1" x14ac:dyDescent="0.25">
      <c r="A225" t="s">
        <v>242</v>
      </c>
    </row>
    <row r="226" spans="1:1" x14ac:dyDescent="0.25">
      <c r="A226" t="s">
        <v>243</v>
      </c>
    </row>
    <row r="227" spans="1:1" x14ac:dyDescent="0.25">
      <c r="A227" t="s">
        <v>244</v>
      </c>
    </row>
    <row r="228" spans="1:1" x14ac:dyDescent="0.25">
      <c r="A228" t="s">
        <v>245</v>
      </c>
    </row>
    <row r="229" spans="1:1" x14ac:dyDescent="0.25">
      <c r="A229" t="s">
        <v>246</v>
      </c>
    </row>
    <row r="230" spans="1:1" x14ac:dyDescent="0.25">
      <c r="A230" t="s">
        <v>247</v>
      </c>
    </row>
    <row r="231" spans="1:1" x14ac:dyDescent="0.25">
      <c r="A231" t="s">
        <v>248</v>
      </c>
    </row>
    <row r="232" spans="1:1" x14ac:dyDescent="0.25">
      <c r="A232" t="s">
        <v>249</v>
      </c>
    </row>
    <row r="233" spans="1:1" x14ac:dyDescent="0.25">
      <c r="A233" t="s">
        <v>250</v>
      </c>
    </row>
    <row r="234" spans="1:1" x14ac:dyDescent="0.25">
      <c r="A234" t="s">
        <v>251</v>
      </c>
    </row>
    <row r="235" spans="1:1" x14ac:dyDescent="0.25">
      <c r="A235" t="s">
        <v>252</v>
      </c>
    </row>
    <row r="236" spans="1:1" x14ac:dyDescent="0.25">
      <c r="A236" t="s">
        <v>253</v>
      </c>
    </row>
    <row r="237" spans="1:1" x14ac:dyDescent="0.25">
      <c r="A237" t="s">
        <v>254</v>
      </c>
    </row>
    <row r="238" spans="1:1" x14ac:dyDescent="0.25">
      <c r="A238" t="s">
        <v>255</v>
      </c>
    </row>
    <row r="239" spans="1:1" x14ac:dyDescent="0.25">
      <c r="A239" t="s">
        <v>256</v>
      </c>
    </row>
    <row r="240" spans="1:1" x14ac:dyDescent="0.25">
      <c r="A240" t="s">
        <v>257</v>
      </c>
    </row>
    <row r="241" spans="1:1" x14ac:dyDescent="0.25">
      <c r="A241" t="s">
        <v>258</v>
      </c>
    </row>
    <row r="242" spans="1:1" x14ac:dyDescent="0.25">
      <c r="A242" t="s">
        <v>259</v>
      </c>
    </row>
    <row r="243" spans="1:1" x14ac:dyDescent="0.25">
      <c r="A243" t="s">
        <v>260</v>
      </c>
    </row>
    <row r="244" spans="1:1" x14ac:dyDescent="0.25">
      <c r="A244" t="s">
        <v>261</v>
      </c>
    </row>
    <row r="245" spans="1:1" x14ac:dyDescent="0.25">
      <c r="A245" t="s">
        <v>262</v>
      </c>
    </row>
    <row r="246" spans="1:1" x14ac:dyDescent="0.25">
      <c r="A246" t="s">
        <v>263</v>
      </c>
    </row>
    <row r="247" spans="1:1" x14ac:dyDescent="0.25">
      <c r="A247" t="s">
        <v>264</v>
      </c>
    </row>
    <row r="248" spans="1:1" x14ac:dyDescent="0.25">
      <c r="A248" t="s">
        <v>265</v>
      </c>
    </row>
    <row r="249" spans="1:1" x14ac:dyDescent="0.25">
      <c r="A249" t="s">
        <v>266</v>
      </c>
    </row>
    <row r="250" spans="1:1" x14ac:dyDescent="0.25">
      <c r="A250" t="s">
        <v>267</v>
      </c>
    </row>
    <row r="251" spans="1:1" x14ac:dyDescent="0.25">
      <c r="A251" t="s">
        <v>268</v>
      </c>
    </row>
    <row r="252" spans="1:1" x14ac:dyDescent="0.25">
      <c r="A252" t="s">
        <v>269</v>
      </c>
    </row>
    <row r="253" spans="1:1" x14ac:dyDescent="0.25">
      <c r="A253" t="s">
        <v>270</v>
      </c>
    </row>
    <row r="254" spans="1:1" x14ac:dyDescent="0.25">
      <c r="A254" t="s">
        <v>271</v>
      </c>
    </row>
    <row r="255" spans="1:1" x14ac:dyDescent="0.25">
      <c r="A255" t="s">
        <v>272</v>
      </c>
    </row>
    <row r="256" spans="1:1" x14ac:dyDescent="0.25">
      <c r="A256" t="s">
        <v>273</v>
      </c>
    </row>
    <row r="257" spans="1:1" x14ac:dyDescent="0.25">
      <c r="A257" t="s">
        <v>274</v>
      </c>
    </row>
    <row r="258" spans="1:1" x14ac:dyDescent="0.25">
      <c r="A258" t="s">
        <v>275</v>
      </c>
    </row>
    <row r="259" spans="1:1" x14ac:dyDescent="0.25">
      <c r="A259" t="s">
        <v>276</v>
      </c>
    </row>
    <row r="260" spans="1:1" x14ac:dyDescent="0.25">
      <c r="A260" t="s">
        <v>277</v>
      </c>
    </row>
    <row r="261" spans="1:1" x14ac:dyDescent="0.25">
      <c r="A261" t="s">
        <v>278</v>
      </c>
    </row>
    <row r="262" spans="1:1" x14ac:dyDescent="0.25">
      <c r="A262" t="s">
        <v>279</v>
      </c>
    </row>
    <row r="263" spans="1:1" x14ac:dyDescent="0.25">
      <c r="A263" t="s">
        <v>280</v>
      </c>
    </row>
    <row r="264" spans="1:1" x14ac:dyDescent="0.25">
      <c r="A264" t="s">
        <v>281</v>
      </c>
    </row>
    <row r="265" spans="1:1" x14ac:dyDescent="0.25">
      <c r="A265" t="s">
        <v>282</v>
      </c>
    </row>
    <row r="266" spans="1:1" x14ac:dyDescent="0.25">
      <c r="A266" t="s">
        <v>283</v>
      </c>
    </row>
    <row r="267" spans="1:1" x14ac:dyDescent="0.25">
      <c r="A267" t="s">
        <v>284</v>
      </c>
    </row>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GridLines="0" topLeftCell="A11" workbookViewId="0">
      <selection activeCell="D23" sqref="D23"/>
    </sheetView>
  </sheetViews>
  <sheetFormatPr baseColWidth="10" defaultColWidth="8.7109375" defaultRowHeight="15" x14ac:dyDescent="0.25"/>
  <cols>
    <col min="1" max="1" width="9.140625" style="4" customWidth="1"/>
    <col min="2" max="2" width="14.7109375" style="5" customWidth="1"/>
    <col min="3" max="3" width="56" style="5" customWidth="1"/>
    <col min="4" max="4" width="50.28515625" style="5" customWidth="1"/>
    <col min="6" max="6" width="38.7109375" customWidth="1"/>
    <col min="7" max="7" width="79.42578125" style="61" customWidth="1"/>
  </cols>
  <sheetData>
    <row r="1" spans="1:7" ht="15.75" x14ac:dyDescent="0.25">
      <c r="A1" s="10" t="s">
        <v>407</v>
      </c>
    </row>
    <row r="2" spans="1:7" x14ac:dyDescent="0.25">
      <c r="A2" s="2" t="s">
        <v>408</v>
      </c>
    </row>
    <row r="3" spans="1:7" x14ac:dyDescent="0.25">
      <c r="A3" s="2"/>
    </row>
    <row r="4" spans="1:7" s="1" customFormat="1" ht="30" x14ac:dyDescent="0.25">
      <c r="A4" s="31" t="s">
        <v>409</v>
      </c>
      <c r="B4" s="35" t="s">
        <v>13</v>
      </c>
      <c r="C4" s="201" t="s">
        <v>410</v>
      </c>
      <c r="D4" s="41" t="s">
        <v>411</v>
      </c>
      <c r="E4" s="33" t="s">
        <v>1</v>
      </c>
      <c r="F4" s="34" t="s">
        <v>412</v>
      </c>
      <c r="G4" s="62"/>
    </row>
    <row r="5" spans="1:7" s="13" customFormat="1" ht="30" x14ac:dyDescent="0.25">
      <c r="A5" s="119">
        <v>0</v>
      </c>
      <c r="B5" s="258" t="s">
        <v>413</v>
      </c>
      <c r="C5" s="211" t="s">
        <v>420</v>
      </c>
      <c r="D5" s="120"/>
      <c r="E5" s="121">
        <v>1</v>
      </c>
      <c r="F5" s="122"/>
      <c r="G5" s="61"/>
    </row>
    <row r="6" spans="1:7" s="13" customFormat="1" ht="30" x14ac:dyDescent="0.25">
      <c r="A6" s="123">
        <v>1</v>
      </c>
      <c r="B6" s="259"/>
      <c r="C6" s="212" t="s">
        <v>422</v>
      </c>
      <c r="D6" s="213" t="s">
        <v>415</v>
      </c>
      <c r="E6" s="124">
        <v>1</v>
      </c>
      <c r="F6" s="125"/>
      <c r="G6" s="61"/>
    </row>
    <row r="7" spans="1:7" s="13" customFormat="1" ht="30" x14ac:dyDescent="0.25">
      <c r="A7" s="126">
        <v>2</v>
      </c>
      <c r="B7" s="260"/>
      <c r="C7" s="214" t="s">
        <v>423</v>
      </c>
      <c r="D7" s="215" t="s">
        <v>416</v>
      </c>
      <c r="E7" s="127">
        <v>1</v>
      </c>
      <c r="F7" s="128"/>
      <c r="G7" s="61"/>
    </row>
    <row r="8" spans="1:7" s="13" customFormat="1" ht="30" x14ac:dyDescent="0.25">
      <c r="A8" s="119">
        <v>0</v>
      </c>
      <c r="B8" s="258" t="s">
        <v>421</v>
      </c>
      <c r="C8" s="216" t="s">
        <v>426</v>
      </c>
      <c r="D8" s="217"/>
      <c r="E8" s="121">
        <v>1</v>
      </c>
      <c r="F8" s="122"/>
      <c r="G8" s="61"/>
    </row>
    <row r="9" spans="1:7" s="13" customFormat="1" ht="30" x14ac:dyDescent="0.25">
      <c r="A9" s="123">
        <v>1</v>
      </c>
      <c r="B9" s="259"/>
      <c r="C9" s="212" t="s">
        <v>425</v>
      </c>
      <c r="D9" s="218" t="s">
        <v>415</v>
      </c>
      <c r="E9" s="124">
        <v>1</v>
      </c>
      <c r="F9" s="125"/>
      <c r="G9" s="61"/>
    </row>
    <row r="10" spans="1:7" s="13" customFormat="1" ht="30" x14ac:dyDescent="0.25">
      <c r="A10" s="126">
        <v>2</v>
      </c>
      <c r="B10" s="260"/>
      <c r="C10" s="214" t="s">
        <v>424</v>
      </c>
      <c r="D10" s="219" t="s">
        <v>416</v>
      </c>
      <c r="E10" s="127">
        <v>1</v>
      </c>
      <c r="F10" s="128"/>
      <c r="G10" s="61"/>
    </row>
    <row r="11" spans="1:7" s="13" customFormat="1" ht="30" x14ac:dyDescent="0.25">
      <c r="A11" s="119">
        <v>0</v>
      </c>
      <c r="B11" s="261" t="s">
        <v>414</v>
      </c>
      <c r="C11" s="216" t="s">
        <v>427</v>
      </c>
      <c r="D11" s="217" t="s">
        <v>417</v>
      </c>
      <c r="E11" s="121">
        <v>1</v>
      </c>
      <c r="F11" s="122">
        <v>2016</v>
      </c>
      <c r="G11" s="61"/>
    </row>
    <row r="12" spans="1:7" s="13" customFormat="1" ht="30" x14ac:dyDescent="0.25">
      <c r="A12" s="123">
        <v>1</v>
      </c>
      <c r="B12" s="262"/>
      <c r="C12" s="212" t="s">
        <v>428</v>
      </c>
      <c r="D12" s="220" t="s">
        <v>418</v>
      </c>
      <c r="E12" s="124">
        <v>1</v>
      </c>
      <c r="F12" s="125" t="s">
        <v>582</v>
      </c>
      <c r="G12" s="61"/>
    </row>
    <row r="13" spans="1:7" s="13" customFormat="1" ht="30" x14ac:dyDescent="0.25">
      <c r="A13" s="123">
        <v>1</v>
      </c>
      <c r="B13" s="262"/>
      <c r="C13" s="212" t="s">
        <v>429</v>
      </c>
      <c r="D13" s="220" t="s">
        <v>419</v>
      </c>
      <c r="E13" s="124">
        <v>1</v>
      </c>
      <c r="F13" s="125" t="s">
        <v>583</v>
      </c>
      <c r="G13" s="61"/>
    </row>
    <row r="14" spans="1:7" s="13" customFormat="1" x14ac:dyDescent="0.25">
      <c r="A14" s="123">
        <v>1</v>
      </c>
      <c r="B14" s="262"/>
      <c r="C14" s="221" t="s">
        <v>430</v>
      </c>
      <c r="D14" s="220"/>
      <c r="E14" s="124">
        <v>1</v>
      </c>
      <c r="F14" s="125"/>
      <c r="G14" s="61"/>
    </row>
    <row r="15" spans="1:7" s="13" customFormat="1" x14ac:dyDescent="0.25">
      <c r="A15" s="123">
        <v>1</v>
      </c>
      <c r="B15" s="262"/>
      <c r="C15" s="221" t="s">
        <v>431</v>
      </c>
      <c r="D15" s="220"/>
      <c r="E15" s="124">
        <v>1</v>
      </c>
      <c r="F15" s="125"/>
      <c r="G15" s="61"/>
    </row>
    <row r="16" spans="1:7" s="13" customFormat="1" ht="45" x14ac:dyDescent="0.25">
      <c r="A16" s="123">
        <v>1</v>
      </c>
      <c r="B16" s="262"/>
      <c r="C16" s="212" t="s">
        <v>432</v>
      </c>
      <c r="D16" s="220"/>
      <c r="E16" s="124">
        <v>1</v>
      </c>
      <c r="F16" s="125"/>
      <c r="G16" s="61"/>
    </row>
    <row r="17" spans="1:7" s="13" customFormat="1" ht="30" x14ac:dyDescent="0.25">
      <c r="A17" s="123">
        <v>1</v>
      </c>
      <c r="B17" s="262"/>
      <c r="C17" s="212" t="s">
        <v>433</v>
      </c>
      <c r="D17" s="220"/>
      <c r="E17" s="124">
        <v>1</v>
      </c>
      <c r="F17" s="125" t="s">
        <v>584</v>
      </c>
      <c r="G17" s="61"/>
    </row>
    <row r="18" spans="1:7" s="13" customFormat="1" ht="45" x14ac:dyDescent="0.25">
      <c r="A18" s="123">
        <v>2</v>
      </c>
      <c r="B18" s="262"/>
      <c r="C18" s="222" t="s">
        <v>573</v>
      </c>
      <c r="D18" s="220"/>
      <c r="E18" s="124">
        <v>1</v>
      </c>
      <c r="F18" s="125"/>
      <c r="G18" s="61"/>
    </row>
    <row r="19" spans="1:7" s="13" customFormat="1" x14ac:dyDescent="0.25">
      <c r="A19" s="126">
        <v>4</v>
      </c>
      <c r="B19" s="263"/>
      <c r="C19" s="223" t="s">
        <v>434</v>
      </c>
      <c r="D19" s="224"/>
      <c r="E19" s="127">
        <v>0</v>
      </c>
      <c r="F19" s="128"/>
      <c r="G19" s="61"/>
    </row>
    <row r="20" spans="1:7" s="13" customFormat="1" x14ac:dyDescent="0.25">
      <c r="B20" s="7"/>
      <c r="C20" s="7"/>
      <c r="D20" s="7"/>
      <c r="G20" s="61"/>
    </row>
    <row r="21" spans="1:7" x14ac:dyDescent="0.25">
      <c r="E21" s="21"/>
    </row>
  </sheetData>
  <sheetProtection algorithmName="SHA-512" hashValue="v39J8C3E0Pl5+waSPIJhYoqBBQE2hPc9LM+EvmVvuC7/fa0AEhAWNqYqf4ho/VHlgUPCiCk6rd0TDCze55oN+g==" saltValue="lCOIeqZVdBtTuNsVVqdOsQ==" spinCount="100000" sheet="1" objects="1" scenarios="1" formatColumns="0"/>
  <mergeCells count="3">
    <mergeCell ref="B5:B7"/>
    <mergeCell ref="B8:B10"/>
    <mergeCell ref="B11:B19"/>
  </mergeCells>
  <dataValidations count="2">
    <dataValidation type="whole" operator="lessThanOrEqual" allowBlank="1" showErrorMessage="1" error="Please enter:_x000a_&quot;0&quot; if No or None, or_x000a_&quot;1&quot; if Yes_x000a_" sqref="E1:E3 E5:E1048576">
      <formula1>1</formula1>
    </dataValidation>
    <dataValidation type="whole" operator="lessThanOrEqual" allowBlank="1" showErrorMessage="1" error="Please enter:_x000a_&quot;0&quot; if No or None, or_x000a_&quot;1&quot; if Yes" sqref="E4">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topLeftCell="A15" workbookViewId="0">
      <selection activeCell="F24" sqref="F24"/>
    </sheetView>
  </sheetViews>
  <sheetFormatPr baseColWidth="10" defaultColWidth="8.7109375" defaultRowHeight="15" x14ac:dyDescent="0.25"/>
  <cols>
    <col min="1" max="1" width="9.140625" style="4" customWidth="1"/>
    <col min="2" max="2" width="14.7109375" style="5" customWidth="1"/>
    <col min="3" max="3" width="56" style="5" customWidth="1"/>
    <col min="4" max="4" width="50.28515625" customWidth="1"/>
    <col min="6" max="6" width="38.7109375" customWidth="1"/>
    <col min="7" max="7" width="66.42578125" style="61" customWidth="1"/>
  </cols>
  <sheetData>
    <row r="1" spans="1:7" ht="15.75" x14ac:dyDescent="0.25">
      <c r="A1" s="202" t="s">
        <v>435</v>
      </c>
      <c r="D1" s="5"/>
    </row>
    <row r="2" spans="1:7" x14ac:dyDescent="0.25">
      <c r="A2" s="2" t="s">
        <v>408</v>
      </c>
      <c r="D2" s="5"/>
    </row>
    <row r="3" spans="1:7" x14ac:dyDescent="0.25">
      <c r="A3" s="2"/>
      <c r="D3" s="5"/>
    </row>
    <row r="4" spans="1:7" s="42" customFormat="1" ht="30" x14ac:dyDescent="0.25">
      <c r="A4" s="31" t="s">
        <v>409</v>
      </c>
      <c r="B4" s="35" t="s">
        <v>13</v>
      </c>
      <c r="C4" s="32" t="s">
        <v>410</v>
      </c>
      <c r="D4" s="41" t="s">
        <v>411</v>
      </c>
      <c r="E4" s="33" t="s">
        <v>1</v>
      </c>
      <c r="F4" s="34" t="s">
        <v>412</v>
      </c>
      <c r="G4" s="63"/>
    </row>
    <row r="5" spans="1:7" ht="30" x14ac:dyDescent="0.25">
      <c r="A5" s="119">
        <v>1</v>
      </c>
      <c r="B5" s="261" t="s">
        <v>2</v>
      </c>
      <c r="C5" s="216" t="s">
        <v>436</v>
      </c>
      <c r="D5" s="225"/>
      <c r="E5" s="121">
        <v>1</v>
      </c>
      <c r="F5" s="122"/>
    </row>
    <row r="6" spans="1:7" ht="30" x14ac:dyDescent="0.25">
      <c r="A6" s="123">
        <v>1</v>
      </c>
      <c r="B6" s="262"/>
      <c r="C6" s="212" t="s">
        <v>437</v>
      </c>
      <c r="D6" s="226"/>
      <c r="E6" s="124">
        <v>1</v>
      </c>
      <c r="F6" s="125"/>
    </row>
    <row r="7" spans="1:7" ht="30" x14ac:dyDescent="0.25">
      <c r="A7" s="123">
        <v>1</v>
      </c>
      <c r="B7" s="262"/>
      <c r="C7" s="212" t="s">
        <v>438</v>
      </c>
      <c r="D7" s="226"/>
      <c r="E7" s="124">
        <v>1</v>
      </c>
      <c r="F7" s="125"/>
    </row>
    <row r="8" spans="1:7" ht="30" x14ac:dyDescent="0.25">
      <c r="A8" s="123">
        <v>1</v>
      </c>
      <c r="B8" s="262"/>
      <c r="C8" s="227" t="s">
        <v>439</v>
      </c>
      <c r="D8" s="226"/>
      <c r="E8" s="124">
        <v>1</v>
      </c>
      <c r="F8" s="125"/>
    </row>
    <row r="9" spans="1:7" ht="30" x14ac:dyDescent="0.25">
      <c r="A9" s="123">
        <v>1</v>
      </c>
      <c r="B9" s="262"/>
      <c r="C9" s="228" t="s">
        <v>440</v>
      </c>
      <c r="D9" s="226"/>
      <c r="E9" s="124">
        <v>1</v>
      </c>
      <c r="F9" s="125"/>
    </row>
    <row r="10" spans="1:7" ht="45" x14ac:dyDescent="0.25">
      <c r="A10" s="123">
        <v>1</v>
      </c>
      <c r="B10" s="262"/>
      <c r="C10" s="227" t="s">
        <v>441</v>
      </c>
      <c r="D10" s="220" t="s">
        <v>454</v>
      </c>
      <c r="E10" s="124">
        <v>1</v>
      </c>
      <c r="F10" s="125" t="s">
        <v>585</v>
      </c>
    </row>
    <row r="11" spans="1:7" ht="45" x14ac:dyDescent="0.25">
      <c r="A11" s="123">
        <v>2</v>
      </c>
      <c r="B11" s="262"/>
      <c r="C11" s="227" t="s">
        <v>442</v>
      </c>
      <c r="D11" s="220" t="s">
        <v>455</v>
      </c>
      <c r="E11" s="124">
        <v>1</v>
      </c>
      <c r="F11" s="125" t="s">
        <v>585</v>
      </c>
    </row>
    <row r="12" spans="1:7" ht="60" x14ac:dyDescent="0.25">
      <c r="A12" s="123">
        <v>2</v>
      </c>
      <c r="B12" s="262"/>
      <c r="C12" s="227" t="s">
        <v>443</v>
      </c>
      <c r="D12" s="130" t="s">
        <v>456</v>
      </c>
      <c r="E12" s="124">
        <v>1</v>
      </c>
      <c r="F12" s="125"/>
    </row>
    <row r="13" spans="1:7" ht="60" x14ac:dyDescent="0.25">
      <c r="A13" s="123">
        <v>2</v>
      </c>
      <c r="B13" s="262"/>
      <c r="C13" s="227" t="s">
        <v>444</v>
      </c>
      <c r="D13" s="130" t="s">
        <v>456</v>
      </c>
      <c r="E13" s="124">
        <v>1</v>
      </c>
      <c r="F13" s="125"/>
    </row>
    <row r="14" spans="1:7" ht="30" x14ac:dyDescent="0.25">
      <c r="A14" s="123">
        <v>2</v>
      </c>
      <c r="B14" s="262"/>
      <c r="C14" s="227" t="s">
        <v>445</v>
      </c>
      <c r="D14" s="220" t="s">
        <v>457</v>
      </c>
      <c r="E14" s="124">
        <v>1</v>
      </c>
      <c r="F14" s="125" t="s">
        <v>586</v>
      </c>
    </row>
    <row r="15" spans="1:7" ht="30" x14ac:dyDescent="0.25">
      <c r="A15" s="123">
        <v>3</v>
      </c>
      <c r="B15" s="262"/>
      <c r="C15" s="227" t="s">
        <v>446</v>
      </c>
      <c r="D15" s="226"/>
      <c r="E15" s="124">
        <v>1</v>
      </c>
      <c r="F15" s="125"/>
    </row>
    <row r="16" spans="1:7" ht="30" x14ac:dyDescent="0.25">
      <c r="A16" s="123">
        <v>3</v>
      </c>
      <c r="B16" s="262"/>
      <c r="C16" s="227" t="s">
        <v>447</v>
      </c>
      <c r="D16" s="226"/>
      <c r="E16" s="124">
        <v>1</v>
      </c>
      <c r="F16" s="125"/>
    </row>
    <row r="17" spans="1:6" ht="45" x14ac:dyDescent="0.25">
      <c r="A17" s="123">
        <v>3</v>
      </c>
      <c r="B17" s="262"/>
      <c r="C17" s="229" t="s">
        <v>448</v>
      </c>
      <c r="D17" s="226"/>
      <c r="E17" s="124">
        <v>1</v>
      </c>
      <c r="F17" s="125" t="s">
        <v>587</v>
      </c>
    </row>
    <row r="18" spans="1:6" ht="30" x14ac:dyDescent="0.25">
      <c r="A18" s="123">
        <v>4</v>
      </c>
      <c r="B18" s="262"/>
      <c r="C18" s="227" t="s">
        <v>449</v>
      </c>
      <c r="D18" s="226"/>
      <c r="E18" s="124">
        <v>1</v>
      </c>
      <c r="F18" s="125"/>
    </row>
    <row r="19" spans="1:6" ht="60" x14ac:dyDescent="0.25">
      <c r="A19" s="123">
        <v>4</v>
      </c>
      <c r="B19" s="262"/>
      <c r="C19" s="227" t="s">
        <v>451</v>
      </c>
      <c r="D19" s="226"/>
      <c r="E19" s="124">
        <v>0</v>
      </c>
      <c r="F19" s="125"/>
    </row>
    <row r="20" spans="1:6" x14ac:dyDescent="0.25">
      <c r="A20" s="126">
        <v>5</v>
      </c>
      <c r="B20" s="263"/>
      <c r="C20" s="231" t="s">
        <v>452</v>
      </c>
      <c r="D20" s="230"/>
      <c r="E20" s="127">
        <v>1</v>
      </c>
      <c r="F20" s="128"/>
    </row>
    <row r="21" spans="1:6" ht="60" x14ac:dyDescent="0.25">
      <c r="A21" s="119">
        <v>3</v>
      </c>
      <c r="B21" s="261" t="s">
        <v>450</v>
      </c>
      <c r="C21" s="203" t="s">
        <v>453</v>
      </c>
      <c r="D21" s="120"/>
      <c r="E21" s="121">
        <v>1</v>
      </c>
      <c r="F21" s="122" t="s">
        <v>588</v>
      </c>
    </row>
    <row r="22" spans="1:6" ht="30" x14ac:dyDescent="0.25">
      <c r="A22" s="126">
        <v>3</v>
      </c>
      <c r="B22" s="263"/>
      <c r="C22" s="204" t="s">
        <v>347</v>
      </c>
      <c r="D22" s="129"/>
      <c r="E22" s="127">
        <v>0</v>
      </c>
      <c r="F22" s="128"/>
    </row>
    <row r="23" spans="1:6" x14ac:dyDescent="0.25">
      <c r="D23" s="20"/>
      <c r="E23" s="22"/>
      <c r="F23" s="20"/>
    </row>
    <row r="24" spans="1:6" x14ac:dyDescent="0.25">
      <c r="C24" s="3"/>
      <c r="D24" s="19"/>
      <c r="E24" s="21"/>
      <c r="F24" s="19"/>
    </row>
    <row r="25" spans="1:6" x14ac:dyDescent="0.25">
      <c r="C25" s="3"/>
      <c r="D25" s="19"/>
      <c r="E25" s="21"/>
      <c r="F25" s="19"/>
    </row>
    <row r="26" spans="1:6" x14ac:dyDescent="0.25">
      <c r="C26" s="3"/>
    </row>
  </sheetData>
  <sheetProtection algorithmName="SHA-512" hashValue="sQMAEpj3WO1hooV0GBoC46yoYl98pH4Y/ABgEmRs9JIbAFYwrxnOGiuG2374dHwtNlDHiL06laLwNtKVfsTk8w==" saltValue="1oJlvWG0enC3TAb7q9wQ/w==" spinCount="100000" sheet="1" objects="1" scenarios="1" formatColumns="0"/>
  <mergeCells count="2">
    <mergeCell ref="B5:B20"/>
    <mergeCell ref="B21:B22"/>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showGridLines="0" topLeftCell="A11" workbookViewId="0">
      <selection activeCell="E15" sqref="E15"/>
    </sheetView>
  </sheetViews>
  <sheetFormatPr baseColWidth="10" defaultColWidth="8.7109375" defaultRowHeight="15" x14ac:dyDescent="0.25"/>
  <cols>
    <col min="1" max="1" width="9.140625" style="4" customWidth="1"/>
    <col min="2" max="2" width="14.7109375" style="5" customWidth="1"/>
    <col min="3" max="3" width="56" style="5" customWidth="1"/>
    <col min="4" max="4" width="50.28515625" customWidth="1"/>
    <col min="6" max="6" width="38.7109375" customWidth="1"/>
    <col min="7" max="7" width="56.140625" style="61" customWidth="1"/>
  </cols>
  <sheetData>
    <row r="1" spans="1:7" ht="15.75" x14ac:dyDescent="0.25">
      <c r="A1" s="10" t="s">
        <v>458</v>
      </c>
      <c r="D1" s="5"/>
    </row>
    <row r="2" spans="1:7" x14ac:dyDescent="0.25">
      <c r="A2" s="2" t="s">
        <v>408</v>
      </c>
      <c r="D2" s="5"/>
    </row>
    <row r="3" spans="1:7" x14ac:dyDescent="0.25">
      <c r="A3" s="2"/>
      <c r="D3" s="5"/>
    </row>
    <row r="4" spans="1:7" s="42" customFormat="1" ht="30" x14ac:dyDescent="0.25">
      <c r="A4" s="31" t="s">
        <v>409</v>
      </c>
      <c r="B4" s="35" t="s">
        <v>13</v>
      </c>
      <c r="C4" s="32" t="s">
        <v>410</v>
      </c>
      <c r="D4" s="41" t="s">
        <v>411</v>
      </c>
      <c r="E4" s="33" t="s">
        <v>1</v>
      </c>
      <c r="F4" s="34" t="s">
        <v>412</v>
      </c>
      <c r="G4" s="63"/>
    </row>
    <row r="5" spans="1:7" s="13" customFormat="1" ht="45" x14ac:dyDescent="0.25">
      <c r="A5" s="131">
        <v>0</v>
      </c>
      <c r="B5" s="258" t="s">
        <v>459</v>
      </c>
      <c r="C5" s="232" t="s">
        <v>461</v>
      </c>
      <c r="D5" s="233" t="s">
        <v>473</v>
      </c>
      <c r="E5" s="121">
        <v>1</v>
      </c>
      <c r="F5" s="133"/>
      <c r="G5" s="61"/>
    </row>
    <row r="6" spans="1:7" s="13" customFormat="1" ht="45" x14ac:dyDescent="0.25">
      <c r="A6" s="134">
        <v>0</v>
      </c>
      <c r="B6" s="259"/>
      <c r="C6" s="234" t="s">
        <v>462</v>
      </c>
      <c r="D6" s="130" t="s">
        <v>474</v>
      </c>
      <c r="E6" s="124">
        <v>1</v>
      </c>
      <c r="F6" s="135"/>
      <c r="G6" s="61"/>
    </row>
    <row r="7" spans="1:7" s="13" customFormat="1" ht="45" x14ac:dyDescent="0.25">
      <c r="A7" s="136">
        <v>0</v>
      </c>
      <c r="B7" s="260"/>
      <c r="C7" s="235" t="s">
        <v>463</v>
      </c>
      <c r="D7" s="137" t="s">
        <v>475</v>
      </c>
      <c r="E7" s="127">
        <v>1</v>
      </c>
      <c r="F7" s="138" t="s">
        <v>589</v>
      </c>
      <c r="G7" s="61"/>
    </row>
    <row r="8" spans="1:7" s="13" customFormat="1" ht="30" x14ac:dyDescent="0.25">
      <c r="A8" s="131">
        <v>1</v>
      </c>
      <c r="B8" s="261" t="s">
        <v>460</v>
      </c>
      <c r="C8" s="236" t="s">
        <v>472</v>
      </c>
      <c r="D8" s="132"/>
      <c r="E8" s="121">
        <v>1</v>
      </c>
      <c r="F8" s="133"/>
      <c r="G8" s="61"/>
    </row>
    <row r="9" spans="1:7" s="13" customFormat="1" ht="30" customHeight="1" x14ac:dyDescent="0.25">
      <c r="A9" s="134">
        <v>2</v>
      </c>
      <c r="B9" s="262"/>
      <c r="C9" s="227" t="s">
        <v>464</v>
      </c>
      <c r="D9" s="237" t="s">
        <v>470</v>
      </c>
      <c r="E9" s="124">
        <v>1</v>
      </c>
      <c r="F9" s="138" t="s">
        <v>589</v>
      </c>
      <c r="G9" s="61"/>
    </row>
    <row r="10" spans="1:7" s="13" customFormat="1" ht="30" x14ac:dyDescent="0.25">
      <c r="A10" s="134">
        <v>2</v>
      </c>
      <c r="B10" s="262"/>
      <c r="C10" s="227" t="s">
        <v>465</v>
      </c>
      <c r="D10" s="140"/>
      <c r="E10" s="124">
        <v>1</v>
      </c>
      <c r="F10" s="135"/>
      <c r="G10" s="61"/>
    </row>
    <row r="11" spans="1:7" s="13" customFormat="1" ht="45" x14ac:dyDescent="0.25">
      <c r="A11" s="134">
        <v>3</v>
      </c>
      <c r="B11" s="262"/>
      <c r="C11" s="227" t="s">
        <v>466</v>
      </c>
      <c r="D11" s="237" t="s">
        <v>470</v>
      </c>
      <c r="E11" s="124">
        <v>0</v>
      </c>
      <c r="F11" s="135"/>
      <c r="G11" s="61"/>
    </row>
    <row r="12" spans="1:7" s="13" customFormat="1" ht="45" x14ac:dyDescent="0.25">
      <c r="A12" s="134">
        <v>3</v>
      </c>
      <c r="B12" s="262"/>
      <c r="C12" s="227" t="s">
        <v>467</v>
      </c>
      <c r="D12" s="238" t="s">
        <v>471</v>
      </c>
      <c r="E12" s="124">
        <v>0</v>
      </c>
      <c r="F12" s="135"/>
      <c r="G12" s="61"/>
    </row>
    <row r="13" spans="1:7" s="13" customFormat="1" ht="45" x14ac:dyDescent="0.25">
      <c r="A13" s="134">
        <v>4</v>
      </c>
      <c r="B13" s="262"/>
      <c r="C13" s="227" t="s">
        <v>468</v>
      </c>
      <c r="D13" s="140"/>
      <c r="E13" s="124">
        <v>1</v>
      </c>
      <c r="F13" s="135"/>
      <c r="G13" s="61"/>
    </row>
    <row r="14" spans="1:7" s="13" customFormat="1" ht="60" x14ac:dyDescent="0.25">
      <c r="A14" s="134">
        <v>4</v>
      </c>
      <c r="B14" s="262"/>
      <c r="C14" s="227" t="s">
        <v>451</v>
      </c>
      <c r="D14" s="141"/>
      <c r="E14" s="124">
        <v>0</v>
      </c>
      <c r="F14" s="135"/>
      <c r="G14" s="61"/>
    </row>
    <row r="15" spans="1:7" s="13" customFormat="1" ht="45" x14ac:dyDescent="0.25">
      <c r="A15" s="136">
        <v>5</v>
      </c>
      <c r="B15" s="263"/>
      <c r="C15" s="231" t="s">
        <v>469</v>
      </c>
      <c r="D15" s="137"/>
      <c r="E15" s="127">
        <v>1</v>
      </c>
      <c r="F15" s="138"/>
      <c r="G15" s="61"/>
    </row>
    <row r="16" spans="1:7" x14ac:dyDescent="0.25">
      <c r="C16" s="3"/>
    </row>
    <row r="17" spans="3:3" x14ac:dyDescent="0.25">
      <c r="C17" s="3"/>
    </row>
  </sheetData>
  <sheetProtection algorithmName="SHA-512" hashValue="TpbIcuzQRBiKRqUk6OVf4+1ChuY22RK0k6LGuYoz88z6ob/8kEkXf4CmUYY//ltSAW70mKgD3g8qHWBq1+ZlDw==" saltValue="ljr9NyCyfRoSMWnn7MyJXQ==" spinCount="100000" sheet="1" objects="1" scenarios="1" formatColumns="0"/>
  <mergeCells count="2">
    <mergeCell ref="B5:B7"/>
    <mergeCell ref="B8:B15"/>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GridLines="0" topLeftCell="C15" workbookViewId="0">
      <selection activeCell="F22" sqref="F22"/>
    </sheetView>
  </sheetViews>
  <sheetFormatPr baseColWidth="10" defaultColWidth="8.7109375" defaultRowHeight="15" x14ac:dyDescent="0.25"/>
  <cols>
    <col min="1" max="1" width="9.140625" style="71" customWidth="1"/>
    <col min="2" max="2" width="14.7109375" customWidth="1"/>
    <col min="3" max="3" width="56" style="5" customWidth="1"/>
    <col min="4" max="4" width="50.28515625" customWidth="1"/>
    <col min="6" max="6" width="63.7109375" style="11" customWidth="1"/>
    <col min="7" max="7" width="53.28515625" style="61" customWidth="1"/>
  </cols>
  <sheetData>
    <row r="1" spans="1:7" ht="15.75" x14ac:dyDescent="0.25">
      <c r="A1" s="10" t="s">
        <v>476</v>
      </c>
      <c r="D1" s="5"/>
    </row>
    <row r="2" spans="1:7" x14ac:dyDescent="0.25">
      <c r="A2" s="2" t="s">
        <v>408</v>
      </c>
      <c r="D2" s="5"/>
    </row>
    <row r="4" spans="1:7" s="42" customFormat="1" ht="30" x14ac:dyDescent="0.25">
      <c r="A4" s="31" t="s">
        <v>409</v>
      </c>
      <c r="B4" s="35" t="s">
        <v>13</v>
      </c>
      <c r="C4" s="32" t="s">
        <v>410</v>
      </c>
      <c r="D4" s="41" t="s">
        <v>411</v>
      </c>
      <c r="E4" s="33" t="s">
        <v>1</v>
      </c>
      <c r="F4" s="34" t="s">
        <v>412</v>
      </c>
      <c r="G4" s="63"/>
    </row>
    <row r="5" spans="1:7" ht="30" x14ac:dyDescent="0.25">
      <c r="A5" s="77">
        <v>2</v>
      </c>
      <c r="B5" s="75" t="s">
        <v>477</v>
      </c>
      <c r="C5" s="242" t="s">
        <v>445</v>
      </c>
      <c r="D5" s="145" t="s">
        <v>457</v>
      </c>
      <c r="E5" s="76">
        <v>1</v>
      </c>
      <c r="F5" s="78" t="s">
        <v>590</v>
      </c>
    </row>
    <row r="6" spans="1:7" ht="30" x14ac:dyDescent="0.25">
      <c r="A6" s="142">
        <v>1</v>
      </c>
      <c r="B6" s="264" t="s">
        <v>478</v>
      </c>
      <c r="C6" s="239" t="s">
        <v>481</v>
      </c>
      <c r="D6" s="139"/>
      <c r="E6" s="121">
        <v>1</v>
      </c>
      <c r="F6" s="133" t="s">
        <v>591</v>
      </c>
    </row>
    <row r="7" spans="1:7" ht="75" x14ac:dyDescent="0.25">
      <c r="A7" s="143">
        <v>1</v>
      </c>
      <c r="B7" s="265"/>
      <c r="C7" s="243" t="s">
        <v>482</v>
      </c>
      <c r="D7" s="140"/>
      <c r="E7" s="124">
        <v>1</v>
      </c>
      <c r="F7" s="135" t="s">
        <v>592</v>
      </c>
    </row>
    <row r="8" spans="1:7" ht="45" x14ac:dyDescent="0.25">
      <c r="A8" s="143">
        <v>1</v>
      </c>
      <c r="B8" s="265"/>
      <c r="C8" s="243" t="s">
        <v>483</v>
      </c>
      <c r="D8" s="240" t="s">
        <v>495</v>
      </c>
      <c r="E8" s="124">
        <v>1</v>
      </c>
      <c r="F8" s="135" t="s">
        <v>593</v>
      </c>
    </row>
    <row r="9" spans="1:7" ht="30" x14ac:dyDescent="0.25">
      <c r="A9" s="143">
        <v>2</v>
      </c>
      <c r="B9" s="265"/>
      <c r="C9" s="243" t="s">
        <v>484</v>
      </c>
      <c r="D9" s="240" t="s">
        <v>495</v>
      </c>
      <c r="E9" s="124">
        <v>1</v>
      </c>
      <c r="F9" s="135"/>
    </row>
    <row r="10" spans="1:7" ht="30" x14ac:dyDescent="0.25">
      <c r="A10" s="144">
        <v>3</v>
      </c>
      <c r="B10" s="266"/>
      <c r="C10" s="244" t="s">
        <v>485</v>
      </c>
      <c r="D10" s="241" t="s">
        <v>495</v>
      </c>
      <c r="E10" s="127">
        <v>0</v>
      </c>
      <c r="F10" s="138"/>
    </row>
    <row r="11" spans="1:7" s="19" customFormat="1" ht="45" customHeight="1" x14ac:dyDescent="0.25">
      <c r="A11" s="142">
        <v>1</v>
      </c>
      <c r="B11" s="264" t="s">
        <v>480</v>
      </c>
      <c r="C11" s="233" t="s">
        <v>494</v>
      </c>
      <c r="D11" s="139" t="s">
        <v>496</v>
      </c>
      <c r="E11" s="121">
        <v>1</v>
      </c>
      <c r="F11" s="133" t="s">
        <v>594</v>
      </c>
      <c r="G11" s="197"/>
    </row>
    <row r="12" spans="1:7" ht="45" customHeight="1" x14ac:dyDescent="0.25">
      <c r="A12" s="143">
        <v>2</v>
      </c>
      <c r="B12" s="265"/>
      <c r="C12" s="243" t="s">
        <v>486</v>
      </c>
      <c r="D12" s="198" t="s">
        <v>496</v>
      </c>
      <c r="E12" s="124">
        <v>1</v>
      </c>
      <c r="F12" s="135" t="s">
        <v>595</v>
      </c>
    </row>
    <row r="13" spans="1:7" ht="75" x14ac:dyDescent="0.25">
      <c r="A13" s="143">
        <v>2</v>
      </c>
      <c r="B13" s="265"/>
      <c r="C13" s="243" t="s">
        <v>572</v>
      </c>
      <c r="D13" s="130" t="s">
        <v>496</v>
      </c>
      <c r="E13" s="124">
        <v>1</v>
      </c>
      <c r="F13" s="135"/>
    </row>
    <row r="14" spans="1:7" ht="30" x14ac:dyDescent="0.25">
      <c r="A14" s="143">
        <v>3</v>
      </c>
      <c r="B14" s="265"/>
      <c r="C14" s="243" t="s">
        <v>434</v>
      </c>
      <c r="D14" s="140" t="s">
        <v>497</v>
      </c>
      <c r="E14" s="124">
        <v>0</v>
      </c>
      <c r="F14" s="135"/>
    </row>
    <row r="15" spans="1:7" ht="45" x14ac:dyDescent="0.25">
      <c r="A15" s="143">
        <v>3</v>
      </c>
      <c r="B15" s="265"/>
      <c r="C15" s="243" t="s">
        <v>487</v>
      </c>
      <c r="D15" s="130" t="s">
        <v>496</v>
      </c>
      <c r="E15" s="124">
        <v>1</v>
      </c>
      <c r="F15" s="135" t="s">
        <v>596</v>
      </c>
    </row>
    <row r="16" spans="1:7" ht="45" x14ac:dyDescent="0.25">
      <c r="A16" s="143">
        <v>3</v>
      </c>
      <c r="B16" s="265"/>
      <c r="C16" s="243" t="s">
        <v>488</v>
      </c>
      <c r="D16" s="130" t="s">
        <v>496</v>
      </c>
      <c r="E16" s="124">
        <v>1</v>
      </c>
      <c r="F16" s="135" t="s">
        <v>597</v>
      </c>
    </row>
    <row r="17" spans="1:6" ht="30" x14ac:dyDescent="0.25">
      <c r="A17" s="143">
        <v>4</v>
      </c>
      <c r="B17" s="265"/>
      <c r="C17" s="243" t="s">
        <v>489</v>
      </c>
      <c r="D17" s="140" t="s">
        <v>497</v>
      </c>
      <c r="E17" s="124">
        <v>0</v>
      </c>
      <c r="F17" s="135"/>
    </row>
    <row r="18" spans="1:6" ht="60" x14ac:dyDescent="0.25">
      <c r="A18" s="143">
        <v>4</v>
      </c>
      <c r="B18" s="265"/>
      <c r="C18" s="243" t="s">
        <v>490</v>
      </c>
      <c r="D18" s="130" t="s">
        <v>496</v>
      </c>
      <c r="E18" s="124">
        <v>1</v>
      </c>
      <c r="F18" s="135" t="s">
        <v>598</v>
      </c>
    </row>
    <row r="19" spans="1:6" ht="30" x14ac:dyDescent="0.25">
      <c r="A19" s="144">
        <v>5</v>
      </c>
      <c r="B19" s="266"/>
      <c r="C19" s="244" t="s">
        <v>491</v>
      </c>
      <c r="D19" s="146" t="s">
        <v>496</v>
      </c>
      <c r="E19" s="127"/>
      <c r="F19" s="138"/>
    </row>
    <row r="20" spans="1:6" ht="45" x14ac:dyDescent="0.25">
      <c r="A20" s="131">
        <v>1</v>
      </c>
      <c r="B20" s="264" t="s">
        <v>479</v>
      </c>
      <c r="C20" s="233" t="s">
        <v>492</v>
      </c>
      <c r="D20" s="139" t="s">
        <v>498</v>
      </c>
      <c r="E20" s="121">
        <v>1</v>
      </c>
      <c r="F20" s="133" t="s">
        <v>599</v>
      </c>
    </row>
    <row r="21" spans="1:6" ht="30" x14ac:dyDescent="0.25">
      <c r="A21" s="136">
        <v>2</v>
      </c>
      <c r="B21" s="266"/>
      <c r="C21" s="244" t="s">
        <v>493</v>
      </c>
      <c r="D21" s="146" t="s">
        <v>498</v>
      </c>
      <c r="E21" s="127">
        <v>1</v>
      </c>
      <c r="F21" s="133" t="s">
        <v>599</v>
      </c>
    </row>
  </sheetData>
  <sheetProtection algorithmName="SHA-512" hashValue="3azGX6VuqaZqvhu+dXHEVjK/nZ1vCXq5ZrLOeMeO6HVXzYvJ15YaV2TjYX9lhyrsbwS4AhRAoqt6FvPkyc3vvA==" saltValue="lsvSKL02WDy0+ZlFrxDJKg==" spinCount="100000" sheet="1" objects="1" scenarios="1" formatColumns="0"/>
  <mergeCells count="3">
    <mergeCell ref="B6:B10"/>
    <mergeCell ref="B20:B21"/>
    <mergeCell ref="B11:B1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showGridLines="0" topLeftCell="B23" workbookViewId="0">
      <selection activeCell="F23" sqref="F23"/>
    </sheetView>
  </sheetViews>
  <sheetFormatPr baseColWidth="10" defaultColWidth="8.7109375" defaultRowHeight="15" x14ac:dyDescent="0.25"/>
  <cols>
    <col min="1" max="1" width="9.140625" style="71" customWidth="1"/>
    <col min="2" max="2" width="14.7109375" style="17" customWidth="1"/>
    <col min="3" max="3" width="56" style="5" customWidth="1"/>
    <col min="4" max="4" width="50.28515625" style="158" customWidth="1"/>
    <col min="6" max="6" width="38.7109375" customWidth="1"/>
    <col min="7" max="7" width="56.7109375" style="61" customWidth="1"/>
  </cols>
  <sheetData>
    <row r="1" spans="1:7" ht="15.75" x14ac:dyDescent="0.25">
      <c r="A1" s="10" t="s">
        <v>499</v>
      </c>
      <c r="D1" s="157"/>
    </row>
    <row r="2" spans="1:7" x14ac:dyDescent="0.25">
      <c r="A2" s="2" t="s">
        <v>408</v>
      </c>
      <c r="D2" s="157"/>
    </row>
    <row r="4" spans="1:7" s="42" customFormat="1" ht="30" x14ac:dyDescent="0.25">
      <c r="A4" s="31" t="s">
        <v>409</v>
      </c>
      <c r="B4" s="35" t="s">
        <v>13</v>
      </c>
      <c r="C4" s="32" t="s">
        <v>410</v>
      </c>
      <c r="D4" s="41" t="s">
        <v>411</v>
      </c>
      <c r="E4" s="33" t="s">
        <v>1</v>
      </c>
      <c r="F4" s="34" t="s">
        <v>412</v>
      </c>
      <c r="G4" s="63"/>
    </row>
    <row r="5" spans="1:7" s="6" customFormat="1" ht="30" x14ac:dyDescent="0.25">
      <c r="A5" s="119">
        <v>1</v>
      </c>
      <c r="B5" s="267" t="s">
        <v>500</v>
      </c>
      <c r="C5" s="233" t="s">
        <v>503</v>
      </c>
      <c r="D5" s="217"/>
      <c r="E5" s="148">
        <v>1</v>
      </c>
      <c r="F5" s="149"/>
      <c r="G5" s="64"/>
    </row>
    <row r="6" spans="1:7" s="6" customFormat="1" ht="45" x14ac:dyDescent="0.25">
      <c r="A6" s="123">
        <v>1</v>
      </c>
      <c r="B6" s="268"/>
      <c r="C6" s="243" t="s">
        <v>504</v>
      </c>
      <c r="D6" s="220" t="s">
        <v>518</v>
      </c>
      <c r="E6" s="151">
        <v>1</v>
      </c>
      <c r="F6" s="152" t="s">
        <v>600</v>
      </c>
      <c r="G6" s="64"/>
    </row>
    <row r="7" spans="1:7" s="6" customFormat="1" ht="45" x14ac:dyDescent="0.25">
      <c r="A7" s="123">
        <v>2</v>
      </c>
      <c r="B7" s="268"/>
      <c r="C7" s="243" t="s">
        <v>505</v>
      </c>
      <c r="D7" s="220" t="s">
        <v>519</v>
      </c>
      <c r="E7" s="151">
        <v>1</v>
      </c>
      <c r="F7" s="152"/>
      <c r="G7" s="64"/>
    </row>
    <row r="8" spans="1:7" s="6" customFormat="1" ht="45" x14ac:dyDescent="0.25">
      <c r="A8" s="123">
        <v>2</v>
      </c>
      <c r="B8" s="268"/>
      <c r="C8" s="243" t="s">
        <v>506</v>
      </c>
      <c r="D8" s="220"/>
      <c r="E8" s="151">
        <v>1</v>
      </c>
      <c r="F8" s="152"/>
      <c r="G8" s="64"/>
    </row>
    <row r="9" spans="1:7" s="6" customFormat="1" ht="60" x14ac:dyDescent="0.25">
      <c r="A9" s="150">
        <v>2</v>
      </c>
      <c r="B9" s="268"/>
      <c r="C9" s="243" t="s">
        <v>507</v>
      </c>
      <c r="D9" s="220"/>
      <c r="E9" s="151">
        <v>1</v>
      </c>
      <c r="F9" s="152"/>
      <c r="G9" s="64"/>
    </row>
    <row r="10" spans="1:7" s="6" customFormat="1" ht="60" x14ac:dyDescent="0.25">
      <c r="A10" s="150">
        <v>3</v>
      </c>
      <c r="B10" s="268"/>
      <c r="C10" s="243" t="s">
        <v>508</v>
      </c>
      <c r="D10" s="220"/>
      <c r="E10" s="151">
        <v>1</v>
      </c>
      <c r="F10" s="152"/>
      <c r="G10" s="64"/>
    </row>
    <row r="11" spans="1:7" s="6" customFormat="1" ht="45" x14ac:dyDescent="0.25">
      <c r="A11" s="156">
        <v>5</v>
      </c>
      <c r="B11" s="268"/>
      <c r="C11" s="244" t="s">
        <v>509</v>
      </c>
      <c r="D11" s="224"/>
      <c r="E11" s="154">
        <v>0</v>
      </c>
      <c r="F11" s="155"/>
      <c r="G11" s="64"/>
    </row>
    <row r="12" spans="1:7" s="6" customFormat="1" ht="30" x14ac:dyDescent="0.25">
      <c r="A12" s="147">
        <v>1</v>
      </c>
      <c r="B12" s="269" t="s">
        <v>501</v>
      </c>
      <c r="C12" s="233" t="s">
        <v>510</v>
      </c>
      <c r="D12" s="132"/>
      <c r="E12" s="148">
        <v>1</v>
      </c>
      <c r="F12" s="149"/>
      <c r="G12" s="64"/>
    </row>
    <row r="13" spans="1:7" s="6" customFormat="1" ht="30" x14ac:dyDescent="0.25">
      <c r="A13" s="150">
        <v>1</v>
      </c>
      <c r="B13" s="270"/>
      <c r="C13" s="243" t="s">
        <v>511</v>
      </c>
      <c r="D13" s="130" t="s">
        <v>497</v>
      </c>
      <c r="E13" s="151">
        <v>1</v>
      </c>
      <c r="F13" s="152" t="s">
        <v>601</v>
      </c>
      <c r="G13" s="64"/>
    </row>
    <row r="14" spans="1:7" s="6" customFormat="1" ht="30" x14ac:dyDescent="0.25">
      <c r="A14" s="123">
        <v>2</v>
      </c>
      <c r="B14" s="270"/>
      <c r="C14" s="243" t="s">
        <v>512</v>
      </c>
      <c r="D14" s="130"/>
      <c r="E14" s="151">
        <v>1</v>
      </c>
      <c r="F14" s="152"/>
      <c r="G14" s="64"/>
    </row>
    <row r="15" spans="1:7" s="6" customFormat="1" ht="45" x14ac:dyDescent="0.25">
      <c r="A15" s="123">
        <v>2</v>
      </c>
      <c r="B15" s="270"/>
      <c r="C15" s="243" t="s">
        <v>513</v>
      </c>
      <c r="D15" s="130"/>
      <c r="E15" s="151">
        <v>1</v>
      </c>
      <c r="F15" s="152"/>
      <c r="G15" s="64"/>
    </row>
    <row r="16" spans="1:7" s="6" customFormat="1" ht="45" x14ac:dyDescent="0.25">
      <c r="A16" s="123">
        <v>3</v>
      </c>
      <c r="B16" s="270"/>
      <c r="C16" s="243" t="s">
        <v>514</v>
      </c>
      <c r="D16" s="130"/>
      <c r="E16" s="151">
        <v>0</v>
      </c>
      <c r="F16" s="152"/>
      <c r="G16" s="64"/>
    </row>
    <row r="17" spans="1:7" s="6" customFormat="1" ht="30" x14ac:dyDescent="0.25">
      <c r="A17" s="123">
        <v>3</v>
      </c>
      <c r="B17" s="270"/>
      <c r="C17" s="243" t="s">
        <v>515</v>
      </c>
      <c r="D17" s="130" t="s">
        <v>520</v>
      </c>
      <c r="E17" s="151">
        <v>0</v>
      </c>
      <c r="F17" s="152"/>
      <c r="G17" s="64"/>
    </row>
    <row r="18" spans="1:7" s="6" customFormat="1" ht="60" x14ac:dyDescent="0.25">
      <c r="A18" s="123">
        <v>4</v>
      </c>
      <c r="B18" s="270"/>
      <c r="C18" s="243" t="s">
        <v>516</v>
      </c>
      <c r="D18" s="130"/>
      <c r="E18" s="151">
        <v>1</v>
      </c>
      <c r="F18" s="152"/>
      <c r="G18" s="64"/>
    </row>
    <row r="19" spans="1:7" s="6" customFormat="1" ht="30" x14ac:dyDescent="0.25">
      <c r="A19" s="156">
        <v>5</v>
      </c>
      <c r="B19" s="271"/>
      <c r="C19" s="244" t="s">
        <v>517</v>
      </c>
      <c r="D19" s="248"/>
      <c r="E19" s="154">
        <v>0</v>
      </c>
      <c r="F19" s="155"/>
      <c r="G19" s="64"/>
    </row>
    <row r="20" spans="1:7" s="6" customFormat="1" ht="60" x14ac:dyDescent="0.25">
      <c r="A20" s="147">
        <v>1</v>
      </c>
      <c r="B20" s="269" t="s">
        <v>502</v>
      </c>
      <c r="C20" s="233" t="s">
        <v>521</v>
      </c>
      <c r="D20" s="217"/>
      <c r="E20" s="148">
        <v>1</v>
      </c>
      <c r="F20" s="149"/>
      <c r="G20" s="64"/>
    </row>
    <row r="21" spans="1:7" s="6" customFormat="1" ht="60" x14ac:dyDescent="0.25">
      <c r="A21" s="150">
        <v>2</v>
      </c>
      <c r="B21" s="270"/>
      <c r="C21" s="243" t="s">
        <v>522</v>
      </c>
      <c r="D21" s="245" t="s">
        <v>531</v>
      </c>
      <c r="E21" s="151">
        <v>1</v>
      </c>
      <c r="F21" s="152"/>
      <c r="G21" s="64"/>
    </row>
    <row r="22" spans="1:7" s="6" customFormat="1" ht="45" x14ac:dyDescent="0.25">
      <c r="A22" s="153">
        <v>2</v>
      </c>
      <c r="B22" s="270"/>
      <c r="C22" s="243" t="s">
        <v>523</v>
      </c>
      <c r="D22" s="220"/>
      <c r="E22" s="151">
        <v>1</v>
      </c>
      <c r="F22" s="152"/>
      <c r="G22" s="64"/>
    </row>
    <row r="23" spans="1:7" s="6" customFormat="1" ht="45" x14ac:dyDescent="0.25">
      <c r="A23" s="153">
        <v>3</v>
      </c>
      <c r="B23" s="270"/>
      <c r="C23" s="243" t="s">
        <v>524</v>
      </c>
      <c r="D23" s="220" t="s">
        <v>532</v>
      </c>
      <c r="E23" s="151">
        <v>0</v>
      </c>
      <c r="F23" s="152" t="s">
        <v>602</v>
      </c>
      <c r="G23" s="64"/>
    </row>
    <row r="24" spans="1:7" s="6" customFormat="1" ht="60" x14ac:dyDescent="0.25">
      <c r="A24" s="123">
        <v>3</v>
      </c>
      <c r="B24" s="270"/>
      <c r="C24" s="243" t="s">
        <v>525</v>
      </c>
      <c r="D24" s="220" t="s">
        <v>533</v>
      </c>
      <c r="E24" s="151">
        <v>0</v>
      </c>
      <c r="F24" s="152"/>
      <c r="G24" s="64"/>
    </row>
    <row r="25" spans="1:7" s="6" customFormat="1" ht="45" x14ac:dyDescent="0.25">
      <c r="A25" s="123">
        <v>3</v>
      </c>
      <c r="B25" s="270"/>
      <c r="C25" s="243" t="s">
        <v>526</v>
      </c>
      <c r="D25" s="220" t="s">
        <v>534</v>
      </c>
      <c r="E25" s="151">
        <v>0</v>
      </c>
      <c r="F25" s="152"/>
      <c r="G25" s="64"/>
    </row>
    <row r="26" spans="1:7" s="6" customFormat="1" ht="45" x14ac:dyDescent="0.25">
      <c r="A26" s="123">
        <v>4</v>
      </c>
      <c r="B26" s="270"/>
      <c r="C26" s="243" t="s">
        <v>527</v>
      </c>
      <c r="D26" s="220"/>
      <c r="E26" s="151">
        <v>0</v>
      </c>
      <c r="F26" s="152"/>
      <c r="G26" s="64"/>
    </row>
    <row r="27" spans="1:7" s="6" customFormat="1" ht="45" x14ac:dyDescent="0.25">
      <c r="A27" s="123">
        <v>4</v>
      </c>
      <c r="B27" s="270"/>
      <c r="C27" s="243" t="s">
        <v>528</v>
      </c>
      <c r="D27" s="220"/>
      <c r="E27" s="151">
        <v>0</v>
      </c>
      <c r="F27" s="152"/>
      <c r="G27" s="64"/>
    </row>
    <row r="28" spans="1:7" s="6" customFormat="1" ht="45" x14ac:dyDescent="0.25">
      <c r="A28" s="123">
        <v>4</v>
      </c>
      <c r="B28" s="270"/>
      <c r="C28" s="243" t="s">
        <v>529</v>
      </c>
      <c r="D28" s="220"/>
      <c r="E28" s="151">
        <v>0</v>
      </c>
      <c r="F28" s="152"/>
      <c r="G28" s="64"/>
    </row>
    <row r="29" spans="1:7" s="6" customFormat="1" ht="30" x14ac:dyDescent="0.25">
      <c r="A29" s="126">
        <v>5</v>
      </c>
      <c r="B29" s="271"/>
      <c r="C29" s="244" t="s">
        <v>530</v>
      </c>
      <c r="D29" s="224"/>
      <c r="E29" s="154">
        <v>0</v>
      </c>
      <c r="F29" s="155"/>
      <c r="G29" s="64"/>
    </row>
    <row r="30" spans="1:7" s="6" customFormat="1" x14ac:dyDescent="0.25">
      <c r="A30" s="72"/>
      <c r="B30" s="18"/>
      <c r="C30" s="9"/>
      <c r="D30" s="158"/>
      <c r="G30" s="64"/>
    </row>
    <row r="31" spans="1:7" s="6" customFormat="1" x14ac:dyDescent="0.25">
      <c r="A31" s="72"/>
      <c r="B31" s="18"/>
      <c r="C31" s="9"/>
      <c r="D31" s="158"/>
      <c r="G31" s="64"/>
    </row>
    <row r="32" spans="1:7" s="6" customFormat="1" x14ac:dyDescent="0.25">
      <c r="A32" s="72"/>
      <c r="B32" s="18"/>
      <c r="C32" s="9"/>
      <c r="D32" s="158"/>
      <c r="G32" s="64"/>
    </row>
    <row r="33" spans="1:7" s="6" customFormat="1" x14ac:dyDescent="0.25">
      <c r="A33" s="72"/>
      <c r="B33" s="18"/>
      <c r="C33" s="9"/>
      <c r="D33" s="158"/>
      <c r="G33" s="64"/>
    </row>
  </sheetData>
  <sheetProtection algorithmName="SHA-512" hashValue="fUVXPpsw5uMeGJ74dp+aX4UaojpUfkSnvMv8RGhcOzZlazrLhhEMgbeP7fcChksPB9Mmi1/dboFyS820XY14Qg==" saltValue="73khCLCDJd13Wqt8Eg4ojw==" spinCount="100000" sheet="1" objects="1" scenarios="1" formatColumns="0"/>
  <mergeCells count="3">
    <mergeCell ref="B5:B11"/>
    <mergeCell ref="B20:B29"/>
    <mergeCell ref="B12:B1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showGridLines="0" topLeftCell="C9" workbookViewId="0">
      <selection activeCell="C15" sqref="C15"/>
    </sheetView>
  </sheetViews>
  <sheetFormatPr baseColWidth="10" defaultColWidth="8.7109375" defaultRowHeight="15" x14ac:dyDescent="0.25"/>
  <cols>
    <col min="1" max="1" width="9.140625" style="4" customWidth="1"/>
    <col min="2" max="2" width="14.7109375" customWidth="1"/>
    <col min="3" max="3" width="56" style="5" customWidth="1"/>
    <col min="4" max="4" width="44.28515625" customWidth="1"/>
    <col min="6" max="6" width="66.7109375" style="11" customWidth="1"/>
    <col min="7" max="7" width="71.7109375" style="61" customWidth="1"/>
  </cols>
  <sheetData>
    <row r="1" spans="1:7" ht="15.75" x14ac:dyDescent="0.25">
      <c r="A1" s="10" t="s">
        <v>537</v>
      </c>
      <c r="D1" s="5"/>
    </row>
    <row r="2" spans="1:7" x14ac:dyDescent="0.25">
      <c r="A2" s="2" t="s">
        <v>408</v>
      </c>
      <c r="D2" s="5"/>
    </row>
    <row r="4" spans="1:7" s="42" customFormat="1" ht="29.25" customHeight="1" x14ac:dyDescent="0.25">
      <c r="A4" s="31" t="s">
        <v>409</v>
      </c>
      <c r="B4" s="35" t="s">
        <v>13</v>
      </c>
      <c r="C4" s="32" t="s">
        <v>410</v>
      </c>
      <c r="D4" s="41" t="s">
        <v>411</v>
      </c>
      <c r="E4" s="33" t="s">
        <v>1</v>
      </c>
      <c r="F4" s="34" t="s">
        <v>412</v>
      </c>
      <c r="G4" s="63"/>
    </row>
    <row r="5" spans="1:7" s="74" customFormat="1" ht="30" x14ac:dyDescent="0.25">
      <c r="A5" s="162">
        <v>0</v>
      </c>
      <c r="B5" s="261" t="s">
        <v>536</v>
      </c>
      <c r="C5" s="233" t="s">
        <v>539</v>
      </c>
      <c r="D5" s="246" t="s">
        <v>546</v>
      </c>
      <c r="E5" s="193">
        <v>1</v>
      </c>
      <c r="F5" s="194"/>
      <c r="G5" s="73"/>
    </row>
    <row r="6" spans="1:7" ht="30" x14ac:dyDescent="0.25">
      <c r="A6" s="160">
        <v>1</v>
      </c>
      <c r="B6" s="262"/>
      <c r="C6" s="247" t="s">
        <v>540</v>
      </c>
      <c r="D6" s="220" t="s">
        <v>545</v>
      </c>
      <c r="E6" s="124">
        <v>1</v>
      </c>
      <c r="F6" s="125"/>
    </row>
    <row r="7" spans="1:7" ht="30" x14ac:dyDescent="0.25">
      <c r="A7" s="160">
        <v>1</v>
      </c>
      <c r="B7" s="262"/>
      <c r="C7" s="243" t="s">
        <v>541</v>
      </c>
      <c r="D7" s="220"/>
      <c r="E7" s="124">
        <v>0</v>
      </c>
      <c r="F7" s="125"/>
    </row>
    <row r="8" spans="1:7" ht="45" x14ac:dyDescent="0.25">
      <c r="A8" s="123">
        <v>1</v>
      </c>
      <c r="B8" s="262"/>
      <c r="C8" s="243" t="s">
        <v>542</v>
      </c>
      <c r="D8" s="220" t="s">
        <v>547</v>
      </c>
      <c r="E8" s="124">
        <v>1</v>
      </c>
      <c r="F8" s="125"/>
    </row>
    <row r="9" spans="1:7" ht="30" x14ac:dyDescent="0.25">
      <c r="A9" s="160">
        <v>2</v>
      </c>
      <c r="B9" s="262"/>
      <c r="C9" s="243" t="s">
        <v>543</v>
      </c>
      <c r="D9" s="220"/>
      <c r="E9" s="124">
        <v>1</v>
      </c>
      <c r="F9" s="125"/>
    </row>
    <row r="10" spans="1:7" ht="30" x14ac:dyDescent="0.25">
      <c r="A10" s="161">
        <v>2</v>
      </c>
      <c r="B10" s="263"/>
      <c r="C10" s="244" t="s">
        <v>544</v>
      </c>
      <c r="D10" s="224"/>
      <c r="E10" s="127">
        <v>1</v>
      </c>
      <c r="F10" s="128"/>
    </row>
    <row r="11" spans="1:7" ht="45" x14ac:dyDescent="0.25">
      <c r="A11" s="159">
        <v>1</v>
      </c>
      <c r="B11" s="261" t="s">
        <v>538</v>
      </c>
      <c r="C11" s="233" t="s">
        <v>548</v>
      </c>
      <c r="D11" s="217"/>
      <c r="E11" s="121">
        <v>0</v>
      </c>
      <c r="F11" s="122"/>
    </row>
    <row r="12" spans="1:7" ht="30" x14ac:dyDescent="0.25">
      <c r="A12" s="160">
        <v>1</v>
      </c>
      <c r="B12" s="262"/>
      <c r="C12" s="243" t="s">
        <v>549</v>
      </c>
      <c r="D12" s="220"/>
      <c r="E12" s="124">
        <v>0</v>
      </c>
      <c r="F12" s="125"/>
    </row>
    <row r="13" spans="1:7" ht="45" x14ac:dyDescent="0.25">
      <c r="A13" s="163">
        <v>2</v>
      </c>
      <c r="B13" s="262"/>
      <c r="C13" s="243" t="s">
        <v>550</v>
      </c>
      <c r="D13" s="220"/>
      <c r="E13" s="124">
        <v>0</v>
      </c>
      <c r="F13" s="125" t="s">
        <v>603</v>
      </c>
    </row>
    <row r="14" spans="1:7" ht="45" x14ac:dyDescent="0.25">
      <c r="A14" s="163">
        <v>2</v>
      </c>
      <c r="B14" s="262"/>
      <c r="C14" s="243" t="s">
        <v>551</v>
      </c>
      <c r="D14" s="220"/>
      <c r="E14" s="124">
        <v>0</v>
      </c>
      <c r="F14" s="125" t="s">
        <v>604</v>
      </c>
    </row>
    <row r="15" spans="1:7" ht="30" x14ac:dyDescent="0.25">
      <c r="A15" s="160">
        <v>3</v>
      </c>
      <c r="B15" s="262"/>
      <c r="C15" s="243" t="s">
        <v>552</v>
      </c>
      <c r="D15" s="220"/>
      <c r="E15" s="124">
        <v>0</v>
      </c>
      <c r="F15" s="125"/>
    </row>
    <row r="16" spans="1:7" ht="45" x14ac:dyDescent="0.25">
      <c r="A16" s="161">
        <v>4</v>
      </c>
      <c r="B16" s="263"/>
      <c r="C16" s="244" t="s">
        <v>553</v>
      </c>
      <c r="D16" s="224"/>
      <c r="E16" s="127">
        <v>0</v>
      </c>
      <c r="F16" s="128"/>
    </row>
  </sheetData>
  <sheetProtection algorithmName="SHA-512" hashValue="scNtUJKDSla5repHkPM7exo4pktXMqyBXMlfFN0ICV0TJIs0WJ0PAICl1m3b8uHcYN1yxE1wsGzQlIbM2owAVw==" saltValue="kLZxYaIQvW480R1R4K5veQ==" spinCount="100000" sheet="1" objects="1" scenarios="1" formatColumns="0"/>
  <mergeCells count="2">
    <mergeCell ref="B11:B16"/>
    <mergeCell ref="B5:B10"/>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pageSetup paperSize="9" orientation="portrait" horizontalDpi="4294967292" verticalDpi="429496729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29</vt:i4>
      </vt:variant>
    </vt:vector>
  </HeadingPairs>
  <TitlesOfParts>
    <vt:vector size="43" baseType="lpstr">
      <vt:lpstr>INSTRUCTIONS</vt:lpstr>
      <vt:lpstr>PAYS</vt:lpstr>
      <vt:lpstr>country</vt:lpstr>
      <vt:lpstr>LÉGISLATION</vt:lpstr>
      <vt:lpstr>COLLECTE DE DONNÉES ET ANALYSE</vt:lpstr>
      <vt:lpstr>DIAGNOSTIC DE LABORATOIRE</vt:lpstr>
      <vt:lpstr>INFORMATION, ÉDUCTION ET LA COM</vt:lpstr>
      <vt:lpstr>PRÉVENTION ET DE CONTRÔLE</vt:lpstr>
      <vt:lpstr>QUESTIONS TRANSVERSALES</vt:lpstr>
      <vt:lpstr>SUMMARY (Score)</vt:lpstr>
      <vt:lpstr>SUMMARY (Stage)</vt:lpstr>
      <vt:lpstr>RULES</vt:lpstr>
      <vt:lpstr>key activities</vt:lpstr>
      <vt:lpstr>masterlist</vt:lpstr>
      <vt:lpstr>A_case_definition_for_animal_rabies_is_available</vt:lpstr>
      <vt:lpstr>ACHIEVEMENTS___ACTIVITIES</vt:lpstr>
      <vt:lpstr>COUNTRY</vt:lpstr>
      <vt:lpstr>crossstage</vt:lpstr>
      <vt:lpstr>crossstatus</vt:lpstr>
      <vt:lpstr>datastage</vt:lpstr>
      <vt:lpstr>datastatus</vt:lpstr>
      <vt:lpstr>iecstage</vt:lpstr>
      <vt:lpstr>iecstatus</vt:lpstr>
      <vt:lpstr>'SUMMARY (Stage)'!Impression_des_titres</vt:lpstr>
      <vt:lpstr>labstage</vt:lpstr>
      <vt:lpstr>labstatus</vt:lpstr>
      <vt:lpstr>National_case_definition_for_animal_rabies</vt:lpstr>
      <vt:lpstr>OTHER_IMPORTANT_INFORMATION</vt:lpstr>
      <vt:lpstr>pendcross</vt:lpstr>
      <vt:lpstr>penddata</vt:lpstr>
      <vt:lpstr>penddog</vt:lpstr>
      <vt:lpstr>pendiec</vt:lpstr>
      <vt:lpstr>pendlab</vt:lpstr>
      <vt:lpstr>pendleg</vt:lpstr>
      <vt:lpstr>pendprev</vt:lpstr>
      <vt:lpstr>prevstage</vt:lpstr>
      <vt:lpstr>prevstatus</vt:lpstr>
      <vt:lpstr>REMARKS</vt:lpstr>
      <vt:lpstr>STAGE</vt:lpstr>
      <vt:lpstr>STATUS</vt:lpstr>
      <vt:lpstr>subcomponent</vt:lpstr>
      <vt:lpstr>tbl</vt:lpstr>
      <vt:lpstr>'SUMMARY (Score)'!Zone_d_impression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Dr Hetetchi</cp:lastModifiedBy>
  <cp:lastPrinted>2016-06-27T05:29:54Z</cp:lastPrinted>
  <dcterms:created xsi:type="dcterms:W3CDTF">2015-04-17T07:47:18Z</dcterms:created>
  <dcterms:modified xsi:type="dcterms:W3CDTF">2016-06-29T16:58:12Z</dcterms:modified>
</cp:coreProperties>
</file>