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25915"/>
  <workbookPr hidePivotFieldList="1" autoCompressPictures="0"/>
  <bookViews>
    <workbookView xWindow="920" yWindow="2020" windowWidth="20500" windowHeight="7760" tabRatio="917" activeTab="1"/>
  </bookViews>
  <sheets>
    <sheet name="INSTRUCTIONS" sheetId="16" r:id="rId1"/>
    <sheet name="Country profile" sheetId="17" r:id="rId2"/>
    <sheet name="country" sheetId="18" state="hidden" r:id="rId3"/>
    <sheet name="Legislation" sheetId="2" r:id="rId4"/>
    <sheet name="Data coll &amp; ax" sheetId="3" r:id="rId5"/>
    <sheet name="Diagnostique lab" sheetId="5" r:id="rId6"/>
    <sheet name="IEC" sheetId="9" r:id="rId7"/>
    <sheet name="Prev &amp; Ctrl" sheetId="10" r:id="rId8"/>
    <sheet name="Dog popn" sheetId="13" r:id="rId9"/>
    <sheet name="Questions transversales" sheetId="14" r:id="rId10"/>
    <sheet name="SUMMARY (Score)" sheetId="7" r:id="rId11"/>
    <sheet name="SUMMARY (Stage)" sheetId="15" r:id="rId12"/>
    <sheet name="masterlist" sheetId="20" state="hidden" r:id="rId13"/>
  </sheets>
  <definedNames>
    <definedName name="A_case_definition_for_animal_rabies_is_available">Legislation!$C$6:$C$16</definedName>
    <definedName name="ACHIEVEMENTS___ACTIVITIES">Legislation!$C$5:$C$16</definedName>
    <definedName name="COUNTRY">country!$A$1:$A$267</definedName>
    <definedName name="crossstage">'Questions transversales'!$A$5:$A$19</definedName>
    <definedName name="crossstatus">'Questions transversales'!$E$5:$E$19</definedName>
    <definedName name="datastage">'Data coll &amp; ax'!$A$5:$A$13</definedName>
    <definedName name="datastatus">'Data coll &amp; ax'!$E$5:$E$13</definedName>
    <definedName name="dogstage">'Dog popn'!$A$5:$A$7</definedName>
    <definedName name="dogstatus">'Dog popn'!$E$5:$E$7</definedName>
    <definedName name="iecstage">IEC!$A$5:$A$22</definedName>
    <definedName name="iecstatus">IEC!$E$5:$E$22</definedName>
    <definedName name="_xlnm.Print_Titles" localSheetId="11">'SUMMARY (Stage)'!$A:$A,'SUMMARY (Stage)'!$4:$5</definedName>
    <definedName name="kp" localSheetId="2">country!#REF!</definedName>
    <definedName name="labstage">'Diagnostique lab'!$A$5:$A$14</definedName>
    <definedName name="labstatus">'Diagnostique lab'!$E$5:$E$14</definedName>
    <definedName name="National_case_definition_for_animal_rabies">Legislation!$B$6:$B$16</definedName>
    <definedName name="OTHER_IMPORTANT_INFORMATION">Legislation!$D$5:$D$16</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'Prev &amp; Ctrl'!$A$5:$A$29</definedName>
    <definedName name="prevstatus">'Prev &amp; Ctrl'!$E$5:$E$29</definedName>
    <definedName name="REMARKS">Legislation!$F$5:$F$16</definedName>
    <definedName name="STAGE">Legislation!$A$5:$A$16</definedName>
    <definedName name="STATUS">Legislation!$E$5:$E$16</definedName>
    <definedName name="subcomponent">Legislation!$B$5:$B$16</definedName>
    <definedName name="tbl">Legislation!$A$5:$E$16</definedName>
    <definedName name="u" localSheetId="2">country!#REF!</definedName>
  </definedNames>
  <calcPr calcId="140001" concurrentCalc="0"/>
  <extLst>
    <ext xmlns:mx="http://schemas.microsoft.com/office/mac/excel/2008/main" uri="{7523E5D3-25F3-A5E0-1632-64F254C22452}">
      <mx:ArchID Flags="2"/>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7" i="15" l="1"/>
  <c r="B6" i="15" a="1"/>
  <c r="B6" i="15"/>
  <c r="F1" i="15"/>
  <c r="E2" i="7"/>
  <c r="E1" i="15"/>
  <c r="E1" i="7"/>
  <c r="M22" i="15"/>
  <c r="O22" i="15" a="1"/>
  <c r="O22" i="15"/>
  <c r="S49" i="15"/>
  <c r="U55" i="15" a="1"/>
  <c r="U55" i="15"/>
  <c r="S48" i="15"/>
  <c r="T54" i="15" a="1"/>
  <c r="T54" i="15"/>
  <c r="S40" i="15"/>
  <c r="U40" i="15" a="1"/>
  <c r="U40" i="15"/>
  <c r="S39" i="15"/>
  <c r="T39" i="15" a="1"/>
  <c r="T39" i="15"/>
  <c r="S31" i="15"/>
  <c r="U34" i="15" a="1"/>
  <c r="U34" i="15"/>
  <c r="S30" i="15"/>
  <c r="T30" i="15" a="1"/>
  <c r="T30" i="15"/>
  <c r="S22" i="15"/>
  <c r="U21" i="15" a="1"/>
  <c r="U21" i="15"/>
  <c r="S21" i="15"/>
  <c r="T24" i="15" a="1"/>
  <c r="T24" i="15"/>
  <c r="S13" i="15"/>
  <c r="U11" i="15" a="1"/>
  <c r="U11" i="15"/>
  <c r="S12" i="15"/>
  <c r="T12" i="15" a="1"/>
  <c r="T12" i="15"/>
  <c r="S8" i="15"/>
  <c r="U8" i="15" a="1"/>
  <c r="U8" i="15"/>
  <c r="S7" i="15"/>
  <c r="T7" i="15" a="1"/>
  <c r="T7" i="15"/>
  <c r="P49" i="15"/>
  <c r="R49" i="15" a="1"/>
  <c r="R49" i="15"/>
  <c r="P48" i="15"/>
  <c r="Q48" i="15" a="1"/>
  <c r="Q48" i="15"/>
  <c r="P40" i="15"/>
  <c r="R40" i="15" a="1"/>
  <c r="R40" i="15"/>
  <c r="P39" i="15"/>
  <c r="Q39" i="15" a="1"/>
  <c r="Q39" i="15"/>
  <c r="P31" i="15"/>
  <c r="R32" i="15" a="1"/>
  <c r="R32" i="15"/>
  <c r="P30" i="15"/>
  <c r="Q33" i="15" a="1"/>
  <c r="Q33" i="15"/>
  <c r="P22" i="15"/>
  <c r="P21" i="15"/>
  <c r="Q21" i="15" a="1"/>
  <c r="Q21" i="15"/>
  <c r="P13" i="15"/>
  <c r="R13" i="15" a="1"/>
  <c r="R13" i="15"/>
  <c r="P12" i="15"/>
  <c r="Q12" i="15" a="1"/>
  <c r="Q12" i="15"/>
  <c r="P8" i="15"/>
  <c r="R8" i="15" a="1"/>
  <c r="R8" i="15"/>
  <c r="P7" i="15"/>
  <c r="Q7" i="15" a="1"/>
  <c r="Q7" i="15"/>
  <c r="M49" i="15"/>
  <c r="O47" i="15" a="1"/>
  <c r="O47" i="15"/>
  <c r="M48" i="15"/>
  <c r="N48" i="15" a="1"/>
  <c r="N48" i="15"/>
  <c r="M40" i="15"/>
  <c r="O45" i="15" a="1"/>
  <c r="O45" i="15"/>
  <c r="M39" i="15"/>
  <c r="N44" i="15" a="1"/>
  <c r="N44" i="15"/>
  <c r="M31" i="15"/>
  <c r="O32" i="15" a="1"/>
  <c r="O32" i="15"/>
  <c r="M30" i="15"/>
  <c r="N33" i="15" a="1"/>
  <c r="N33" i="15"/>
  <c r="M21" i="15"/>
  <c r="N21" i="15" a="1"/>
  <c r="N21" i="15"/>
  <c r="M13" i="15"/>
  <c r="O12" i="15" a="1"/>
  <c r="O12" i="15"/>
  <c r="M12" i="15"/>
  <c r="N16" i="15" a="1"/>
  <c r="N16" i="15"/>
  <c r="M8" i="15"/>
  <c r="O8" i="15" a="1"/>
  <c r="O8" i="15"/>
  <c r="M7" i="15"/>
  <c r="N8" i="15" a="1"/>
  <c r="N8" i="15"/>
  <c r="J49" i="15"/>
  <c r="L48" i="15" a="1"/>
  <c r="L48" i="15"/>
  <c r="J48" i="15"/>
  <c r="K51" i="15" a="1"/>
  <c r="K51" i="15"/>
  <c r="J40" i="15"/>
  <c r="L40" i="15" a="1"/>
  <c r="L40" i="15"/>
  <c r="J39" i="15"/>
  <c r="K39" i="15" a="1"/>
  <c r="K39" i="15"/>
  <c r="J31" i="15"/>
  <c r="L32" i="15" a="1"/>
  <c r="L32" i="15"/>
  <c r="J30" i="15"/>
  <c r="K31" i="15" a="1"/>
  <c r="K31" i="15"/>
  <c r="J22" i="15"/>
  <c r="L22" i="15" a="1"/>
  <c r="L22" i="15"/>
  <c r="J21" i="15"/>
  <c r="K25" i="15" a="1"/>
  <c r="K25" i="15"/>
  <c r="J13" i="15"/>
  <c r="L13" i="15" a="1"/>
  <c r="L13" i="15"/>
  <c r="J12" i="15"/>
  <c r="K15" i="15" a="1"/>
  <c r="K15" i="15"/>
  <c r="J8" i="15"/>
  <c r="L10" i="15" a="1"/>
  <c r="L10" i="15"/>
  <c r="J7" i="15"/>
  <c r="K9" i="15" a="1"/>
  <c r="K9" i="15"/>
  <c r="G49" i="15"/>
  <c r="I48" i="15" a="1"/>
  <c r="I48" i="15"/>
  <c r="G48" i="15"/>
  <c r="H48" i="15" a="1"/>
  <c r="H48" i="15"/>
  <c r="G40" i="15"/>
  <c r="I39" i="15" a="1"/>
  <c r="I39" i="15"/>
  <c r="G39" i="15"/>
  <c r="H39" i="15" a="1"/>
  <c r="H39" i="15"/>
  <c r="G31" i="15"/>
  <c r="I30" i="15" a="1"/>
  <c r="I30" i="15"/>
  <c r="G30" i="15"/>
  <c r="H29" i="15" a="1"/>
  <c r="H29" i="15"/>
  <c r="G22" i="15"/>
  <c r="I21" i="15" a="1"/>
  <c r="I21" i="15"/>
  <c r="G21" i="15"/>
  <c r="H23" i="15" a="1"/>
  <c r="H23" i="15"/>
  <c r="G13" i="15"/>
  <c r="I15" i="15" a="1"/>
  <c r="I15" i="15"/>
  <c r="G12" i="15"/>
  <c r="H14" i="15" a="1"/>
  <c r="H14" i="15"/>
  <c r="G8" i="15"/>
  <c r="I10" i="15" a="1"/>
  <c r="I10" i="15"/>
  <c r="G7" i="15"/>
  <c r="H8" i="15" a="1"/>
  <c r="H8" i="15"/>
  <c r="D49" i="15"/>
  <c r="F48" i="15" a="1"/>
  <c r="F48" i="15"/>
  <c r="D48" i="15"/>
  <c r="E47" i="15" a="1"/>
  <c r="E47" i="15"/>
  <c r="D40" i="15"/>
  <c r="F38" i="15" a="1"/>
  <c r="F38" i="15"/>
  <c r="D39" i="15"/>
  <c r="D31" i="15"/>
  <c r="D30" i="15"/>
  <c r="D22" i="15"/>
  <c r="F22" i="15" a="1"/>
  <c r="F22" i="15"/>
  <c r="D21" i="15"/>
  <c r="E21" i="15" a="1"/>
  <c r="E21" i="15"/>
  <c r="D13" i="15"/>
  <c r="F11" i="15" a="1"/>
  <c r="F11" i="15"/>
  <c r="D12" i="15"/>
  <c r="E11" i="15" a="1"/>
  <c r="E11" i="15"/>
  <c r="D8" i="15"/>
  <c r="F8" i="15"/>
  <c r="D7" i="15"/>
  <c r="Q53" i="15" a="1"/>
  <c r="Q53" i="15"/>
  <c r="Q38" i="15" a="1"/>
  <c r="Q38" i="15"/>
  <c r="R37" i="15" a="1"/>
  <c r="R37" i="15"/>
  <c r="R39" i="15" a="1"/>
  <c r="R39" i="15"/>
  <c r="R31" i="15" a="1"/>
  <c r="R31" i="15"/>
  <c r="R45" i="15" a="1"/>
  <c r="R45" i="15"/>
  <c r="R41" i="15" a="1"/>
  <c r="R41" i="15"/>
  <c r="R43" i="15" a="1"/>
  <c r="R43" i="15"/>
  <c r="K45" i="15" a="1"/>
  <c r="K45" i="15"/>
  <c r="O20" i="15" a="1"/>
  <c r="O20" i="15"/>
  <c r="T6" i="15" a="1"/>
  <c r="T6" i="15"/>
  <c r="T10" i="15" a="1"/>
  <c r="T10" i="15"/>
  <c r="U29" i="15" a="1"/>
  <c r="U29" i="15"/>
  <c r="T8" i="15" a="1"/>
  <c r="T8" i="15"/>
  <c r="U36" i="15" a="1"/>
  <c r="U36" i="15"/>
  <c r="U45" i="15" a="1"/>
  <c r="U45" i="15"/>
  <c r="U32" i="15" a="1"/>
  <c r="U32" i="15"/>
  <c r="U20" i="15" a="1"/>
  <c r="U20" i="15"/>
  <c r="U35" i="15" a="1"/>
  <c r="U35" i="15"/>
  <c r="U31" i="15" a="1"/>
  <c r="U31" i="15"/>
  <c r="U41" i="15" a="1"/>
  <c r="U41" i="15"/>
  <c r="T34" i="15" a="1"/>
  <c r="T34" i="15"/>
  <c r="U26" i="15" a="1"/>
  <c r="U26" i="15"/>
  <c r="T9" i="15" a="1"/>
  <c r="T9" i="15"/>
  <c r="U22" i="15" a="1"/>
  <c r="U22" i="15"/>
  <c r="T25" i="15" a="1"/>
  <c r="T25" i="15"/>
  <c r="T21" i="15" a="1"/>
  <c r="T21" i="15"/>
  <c r="U18" i="15" a="1"/>
  <c r="U18" i="15"/>
  <c r="U17" i="15" a="1"/>
  <c r="U17" i="15"/>
  <c r="U16" i="15" a="1"/>
  <c r="U16" i="15"/>
  <c r="U15" i="15" a="1"/>
  <c r="U15" i="15"/>
  <c r="U14" i="15" a="1"/>
  <c r="U14" i="15"/>
  <c r="U13" i="15" a="1"/>
  <c r="U13" i="15"/>
  <c r="U12" i="15" a="1"/>
  <c r="U12" i="15"/>
  <c r="T35" i="15" a="1"/>
  <c r="T35" i="15"/>
  <c r="U46" i="15" a="1"/>
  <c r="U46" i="15"/>
  <c r="T45" i="15" a="1"/>
  <c r="T45" i="15"/>
  <c r="U42" i="15" a="1"/>
  <c r="U42" i="15"/>
  <c r="T41" i="15" a="1"/>
  <c r="T41" i="15"/>
  <c r="U52" i="15" a="1"/>
  <c r="U52" i="15"/>
  <c r="U7" i="15" a="1"/>
  <c r="U7" i="15"/>
  <c r="T11" i="15" a="1"/>
  <c r="T11" i="15"/>
  <c r="U28" i="15" a="1"/>
  <c r="U28" i="15"/>
  <c r="T27" i="15" a="1"/>
  <c r="T27" i="15"/>
  <c r="U24" i="15" a="1"/>
  <c r="U24" i="15"/>
  <c r="T23" i="15" a="1"/>
  <c r="T23" i="15"/>
  <c r="U37" i="15" a="1"/>
  <c r="U37" i="15"/>
  <c r="T36" i="15" a="1"/>
  <c r="T36" i="15"/>
  <c r="U33" i="15" a="1"/>
  <c r="U33" i="15"/>
  <c r="T32" i="15" a="1"/>
  <c r="T32" i="15"/>
  <c r="U30" i="15" a="1"/>
  <c r="U30" i="15"/>
  <c r="T38" i="15" a="1"/>
  <c r="T38" i="15"/>
  <c r="T46" i="15" a="1"/>
  <c r="T46" i="15"/>
  <c r="U43" i="15" a="1"/>
  <c r="U43" i="15"/>
  <c r="T42" i="15" a="1"/>
  <c r="T42" i="15"/>
  <c r="U39" i="15" a="1"/>
  <c r="U39" i="15"/>
  <c r="T47" i="15" a="1"/>
  <c r="T47" i="15"/>
  <c r="T49" i="15" a="1"/>
  <c r="T49" i="15"/>
  <c r="T51" i="15" a="1"/>
  <c r="T51" i="15"/>
  <c r="T53" i="15" a="1"/>
  <c r="T53" i="15"/>
  <c r="T55" i="15" a="1"/>
  <c r="T55" i="15"/>
  <c r="U9" i="15" a="1"/>
  <c r="U9" i="15"/>
  <c r="T44" i="15" a="1"/>
  <c r="T44" i="15"/>
  <c r="T40" i="15" a="1"/>
  <c r="T40" i="15"/>
  <c r="T48" i="15" a="1"/>
  <c r="T48" i="15"/>
  <c r="T50" i="15" a="1"/>
  <c r="T50" i="15"/>
  <c r="T52" i="15" a="1"/>
  <c r="T52" i="15"/>
  <c r="U10" i="15" a="1"/>
  <c r="U10" i="15"/>
  <c r="U19" i="15" a="1"/>
  <c r="U19" i="15"/>
  <c r="U27" i="15" a="1"/>
  <c r="U27" i="15"/>
  <c r="T26" i="15" a="1"/>
  <c r="T26" i="15"/>
  <c r="U23" i="15" a="1"/>
  <c r="U23" i="15"/>
  <c r="T22" i="15" a="1"/>
  <c r="T22" i="15"/>
  <c r="T31" i="15" a="1"/>
  <c r="T31" i="15"/>
  <c r="U48" i="15" a="1"/>
  <c r="U48" i="15"/>
  <c r="U50" i="15" a="1"/>
  <c r="U50" i="15"/>
  <c r="U54" i="15" a="1"/>
  <c r="U54" i="15"/>
  <c r="U6" i="15" a="1"/>
  <c r="U6" i="15"/>
  <c r="T19" i="15" a="1"/>
  <c r="T19" i="15"/>
  <c r="T18" i="15" a="1"/>
  <c r="T18" i="15"/>
  <c r="T17" i="15" a="1"/>
  <c r="T17" i="15"/>
  <c r="T16" i="15" a="1"/>
  <c r="T16" i="15"/>
  <c r="T15" i="15" a="1"/>
  <c r="T15" i="15"/>
  <c r="T14" i="15" a="1"/>
  <c r="T14" i="15"/>
  <c r="T13" i="15" a="1"/>
  <c r="T13" i="15"/>
  <c r="T20" i="15" a="1"/>
  <c r="T20" i="15"/>
  <c r="T28" i="15" a="1"/>
  <c r="T28" i="15"/>
  <c r="U25" i="15" a="1"/>
  <c r="U25" i="15"/>
  <c r="T29" i="15" a="1"/>
  <c r="T29" i="15"/>
  <c r="T37" i="15" a="1"/>
  <c r="T37" i="15"/>
  <c r="T33" i="15" a="1"/>
  <c r="T33" i="15"/>
  <c r="U38" i="15" a="1"/>
  <c r="U38" i="15"/>
  <c r="U44" i="15" a="1"/>
  <c r="U44" i="15"/>
  <c r="T43" i="15" a="1"/>
  <c r="T43" i="15"/>
  <c r="U47" i="15" a="1"/>
  <c r="U47" i="15"/>
  <c r="U49" i="15" a="1"/>
  <c r="U49" i="15"/>
  <c r="U51" i="15" a="1"/>
  <c r="U51" i="15"/>
  <c r="U53" i="15" a="1"/>
  <c r="U53" i="15"/>
  <c r="R35" i="15" a="1"/>
  <c r="R35" i="15"/>
  <c r="R30" i="15" a="1"/>
  <c r="R30" i="15"/>
  <c r="Q46" i="15" a="1"/>
  <c r="Q46" i="15"/>
  <c r="Q42" i="15" a="1"/>
  <c r="Q42" i="15"/>
  <c r="R50" i="15" a="1"/>
  <c r="R50" i="15"/>
  <c r="R34" i="15" a="1"/>
  <c r="R34" i="15"/>
  <c r="Q49" i="15" a="1"/>
  <c r="Q49" i="15"/>
  <c r="R29" i="15" a="1"/>
  <c r="R29" i="15"/>
  <c r="R33" i="15" a="1"/>
  <c r="R33" i="15"/>
  <c r="Q44" i="15" a="1"/>
  <c r="Q44" i="15"/>
  <c r="Q40" i="15" a="1"/>
  <c r="Q40" i="15"/>
  <c r="R54" i="15" a="1"/>
  <c r="R54" i="15"/>
  <c r="O54" i="15" a="1"/>
  <c r="O54" i="15"/>
  <c r="N39" i="15" a="1"/>
  <c r="N39" i="15"/>
  <c r="O50" i="15" a="1"/>
  <c r="O50" i="15"/>
  <c r="O16" i="15" a="1"/>
  <c r="O16" i="15"/>
  <c r="K38" i="15" a="1"/>
  <c r="K38" i="15"/>
  <c r="H7" i="15" a="1"/>
  <c r="H7" i="15"/>
  <c r="K33" i="15" a="1"/>
  <c r="K33" i="15"/>
  <c r="Q34" i="15" a="1"/>
  <c r="Q34" i="15"/>
  <c r="Q30" i="15" a="1"/>
  <c r="Q30" i="15"/>
  <c r="N42" i="15" a="1"/>
  <c r="N42" i="15"/>
  <c r="O53" i="15" a="1"/>
  <c r="O53" i="15"/>
  <c r="O49" i="15" a="1"/>
  <c r="O49" i="15"/>
  <c r="R28" i="15" a="1"/>
  <c r="R28" i="15"/>
  <c r="R27" i="15" a="1"/>
  <c r="R27" i="15"/>
  <c r="R26" i="15" a="1"/>
  <c r="R26" i="15"/>
  <c r="R25" i="15" a="1"/>
  <c r="R25" i="15"/>
  <c r="R24" i="15" a="1"/>
  <c r="R24" i="15"/>
  <c r="R23" i="15" a="1"/>
  <c r="R23" i="15"/>
  <c r="R22" i="15" a="1"/>
  <c r="R22" i="15"/>
  <c r="R21" i="15" a="1"/>
  <c r="R21" i="15"/>
  <c r="R36" i="15" a="1"/>
  <c r="R36" i="15"/>
  <c r="Q35" i="15" a="1"/>
  <c r="Q35" i="15"/>
  <c r="Q31" i="15" a="1"/>
  <c r="Q31" i="15"/>
  <c r="R38" i="15" a="1"/>
  <c r="R38" i="15"/>
  <c r="Q45" i="15" a="1"/>
  <c r="Q45" i="15"/>
  <c r="Q43" i="15" a="1"/>
  <c r="Q43" i="15"/>
  <c r="Q41" i="15" a="1"/>
  <c r="Q41" i="15"/>
  <c r="Q47" i="15" a="1"/>
  <c r="Q47" i="15"/>
  <c r="R55" i="15" a="1"/>
  <c r="R55" i="15"/>
  <c r="Q54" i="15" a="1"/>
  <c r="Q54" i="15"/>
  <c r="R51" i="15" a="1"/>
  <c r="R51" i="15"/>
  <c r="Q50" i="15" a="1"/>
  <c r="Q50" i="15"/>
  <c r="H30" i="15" a="1"/>
  <c r="H30" i="15"/>
  <c r="L19" i="15" a="1"/>
  <c r="L19" i="15"/>
  <c r="H35" i="15" a="1"/>
  <c r="H35" i="15"/>
  <c r="K29" i="15" a="1"/>
  <c r="K29" i="15"/>
  <c r="K40" i="15" a="1"/>
  <c r="K40" i="15"/>
  <c r="L49" i="15" a="1"/>
  <c r="L49" i="15"/>
  <c r="N43" i="15" a="1"/>
  <c r="N43" i="15"/>
  <c r="N47" i="15" a="1"/>
  <c r="N47" i="15"/>
  <c r="O52" i="15" a="1"/>
  <c r="O52" i="15"/>
  <c r="O48" i="15" a="1"/>
  <c r="O48" i="15"/>
  <c r="Q20" i="15" a="1"/>
  <c r="Q20" i="15"/>
  <c r="Q36" i="15" a="1"/>
  <c r="Q36" i="15"/>
  <c r="Q32" i="15" a="1"/>
  <c r="Q32" i="15"/>
  <c r="R46" i="15" a="1"/>
  <c r="R46" i="15"/>
  <c r="R44" i="15" a="1"/>
  <c r="R44" i="15"/>
  <c r="R42" i="15" a="1"/>
  <c r="R42" i="15"/>
  <c r="Q55" i="15" a="1"/>
  <c r="Q55" i="15"/>
  <c r="R52" i="15" a="1"/>
  <c r="R52" i="15"/>
  <c r="Q51" i="15" a="1"/>
  <c r="Q51" i="15"/>
  <c r="R48" i="15" a="1"/>
  <c r="R48" i="15"/>
  <c r="K32" i="15" a="1"/>
  <c r="K32" i="15"/>
  <c r="L53" i="15" a="1"/>
  <c r="L53" i="15"/>
  <c r="E53" i="15" a="1"/>
  <c r="E53" i="15"/>
  <c r="H28" i="15" a="1"/>
  <c r="H28" i="15"/>
  <c r="H34" i="15" a="1"/>
  <c r="H34" i="15"/>
  <c r="K37" i="15" a="1"/>
  <c r="K37" i="15"/>
  <c r="O11" i="15" a="1"/>
  <c r="O11" i="15"/>
  <c r="N38" i="15" a="1"/>
  <c r="N38" i="15"/>
  <c r="N46" i="15" a="1"/>
  <c r="N46" i="15"/>
  <c r="O55" i="15" a="1"/>
  <c r="O55" i="15"/>
  <c r="O51" i="15" a="1"/>
  <c r="O51" i="15"/>
  <c r="R20" i="15" a="1"/>
  <c r="R20" i="15"/>
  <c r="Q28" i="15" a="1"/>
  <c r="Q28" i="15"/>
  <c r="Q27" i="15" a="1"/>
  <c r="Q27" i="15"/>
  <c r="Q26" i="15" a="1"/>
  <c r="Q26" i="15"/>
  <c r="Q25" i="15" a="1"/>
  <c r="Q25" i="15"/>
  <c r="Q24" i="15" a="1"/>
  <c r="Q24" i="15"/>
  <c r="Q23" i="15" a="1"/>
  <c r="Q23" i="15"/>
  <c r="Q22" i="15" a="1"/>
  <c r="Q22" i="15"/>
  <c r="Q29" i="15" a="1"/>
  <c r="Q29" i="15"/>
  <c r="Q37" i="15" a="1"/>
  <c r="Q37" i="15"/>
  <c r="R47" i="15" a="1"/>
  <c r="R47" i="15"/>
  <c r="R53" i="15" a="1"/>
  <c r="R53" i="15"/>
  <c r="Q52" i="15" a="1"/>
  <c r="Q52" i="15"/>
  <c r="R18" i="15" a="1"/>
  <c r="R18" i="15"/>
  <c r="Q8" i="15" a="1"/>
  <c r="Q8" i="15"/>
  <c r="R14" i="15" a="1"/>
  <c r="R14" i="15"/>
  <c r="R19" i="15" a="1"/>
  <c r="R19" i="15"/>
  <c r="Q18" i="15" a="1"/>
  <c r="Q18" i="15"/>
  <c r="R15" i="15" a="1"/>
  <c r="R15" i="15"/>
  <c r="Q14" i="15" a="1"/>
  <c r="Q14" i="15"/>
  <c r="R9" i="15" a="1"/>
  <c r="R9" i="15"/>
  <c r="Q17" i="15" a="1"/>
  <c r="Q17" i="15"/>
  <c r="Q13" i="15" a="1"/>
  <c r="Q13" i="15"/>
  <c r="R10" i="15" a="1"/>
  <c r="R10" i="15"/>
  <c r="Q9" i="15" a="1"/>
  <c r="Q9" i="15"/>
  <c r="Q6" i="15" a="1"/>
  <c r="Q6" i="15"/>
  <c r="Q10" i="15" a="1"/>
  <c r="Q10" i="15"/>
  <c r="R7" i="15" a="1"/>
  <c r="R7" i="15"/>
  <c r="Q11" i="15" a="1"/>
  <c r="Q11" i="15"/>
  <c r="Q19" i="15" a="1"/>
  <c r="Q19" i="15"/>
  <c r="R16" i="15" a="1"/>
  <c r="R16" i="15"/>
  <c r="Q15" i="15" a="1"/>
  <c r="Q15" i="15"/>
  <c r="R12" i="15" a="1"/>
  <c r="R12" i="15"/>
  <c r="R6" i="15" a="1"/>
  <c r="R6" i="15"/>
  <c r="R11" i="15" a="1"/>
  <c r="R11" i="15"/>
  <c r="R17" i="15" a="1"/>
  <c r="R17" i="15"/>
  <c r="Q16" i="15" a="1"/>
  <c r="Q16" i="15"/>
  <c r="K16" i="15" a="1"/>
  <c r="K16" i="15"/>
  <c r="K14" i="15" a="1"/>
  <c r="K14" i="15"/>
  <c r="N26" i="15" a="1"/>
  <c r="N26" i="15"/>
  <c r="H24" i="15" a="1"/>
  <c r="H24" i="15"/>
  <c r="L18" i="15" a="1"/>
  <c r="L18" i="15"/>
  <c r="K13" i="15" a="1"/>
  <c r="K13" i="15"/>
  <c r="L27" i="15" a="1"/>
  <c r="L27" i="15"/>
  <c r="O18" i="15" a="1"/>
  <c r="O18" i="15"/>
  <c r="O14" i="15" a="1"/>
  <c r="O14" i="15"/>
  <c r="H9" i="15" a="1"/>
  <c r="H9" i="15"/>
  <c r="H20" i="15" a="1"/>
  <c r="H20" i="15"/>
  <c r="H31" i="15" a="1"/>
  <c r="H31" i="15"/>
  <c r="H38" i="15" a="1"/>
  <c r="H38" i="15"/>
  <c r="K17" i="15" a="1"/>
  <c r="K17" i="15"/>
  <c r="L14" i="15" a="1"/>
  <c r="L14" i="15"/>
  <c r="K36" i="15" a="1"/>
  <c r="K36" i="15"/>
  <c r="K41" i="15" a="1"/>
  <c r="K41" i="15"/>
  <c r="L47" i="15" a="1"/>
  <c r="L47" i="15"/>
  <c r="O17" i="15" a="1"/>
  <c r="O17" i="15"/>
  <c r="O13" i="15" a="1"/>
  <c r="O13" i="15"/>
  <c r="N28" i="15" a="1"/>
  <c r="N28" i="15"/>
  <c r="O35" i="15" a="1"/>
  <c r="O35" i="15"/>
  <c r="O31" i="15" a="1"/>
  <c r="O31" i="15"/>
  <c r="N41" i="15" a="1"/>
  <c r="N41" i="15"/>
  <c r="N45" i="15" a="1"/>
  <c r="N45" i="15"/>
  <c r="N24" i="15" a="1"/>
  <c r="N24" i="15"/>
  <c r="O29" i="15" a="1"/>
  <c r="O29" i="15"/>
  <c r="O34" i="15" a="1"/>
  <c r="O34" i="15"/>
  <c r="O30" i="15" a="1"/>
  <c r="O30" i="15"/>
  <c r="E49" i="15" a="1"/>
  <c r="E49" i="15"/>
  <c r="I23" i="15" a="1"/>
  <c r="I23" i="15"/>
  <c r="L7" i="15" a="1"/>
  <c r="L7" i="15"/>
  <c r="K18" i="15" a="1"/>
  <c r="K18" i="15"/>
  <c r="L15" i="15" a="1"/>
  <c r="L15" i="15"/>
  <c r="K12" i="15" a="1"/>
  <c r="K12" i="15"/>
  <c r="L23" i="15" a="1"/>
  <c r="L23" i="15"/>
  <c r="K44" i="15" a="1"/>
  <c r="K44" i="15"/>
  <c r="O9" i="15" a="1"/>
  <c r="O9" i="15"/>
  <c r="N20" i="15" a="1"/>
  <c r="N20" i="15"/>
  <c r="N22" i="15" a="1"/>
  <c r="N22" i="15"/>
  <c r="O37" i="15" a="1"/>
  <c r="O37" i="15"/>
  <c r="O33" i="15" a="1"/>
  <c r="O33" i="15"/>
  <c r="N40" i="15" a="1"/>
  <c r="N40" i="15"/>
  <c r="N55" i="15" a="1"/>
  <c r="N55" i="15"/>
  <c r="N54" i="15" a="1"/>
  <c r="N54" i="15"/>
  <c r="N53" i="15" a="1"/>
  <c r="N53" i="15"/>
  <c r="N52" i="15" a="1"/>
  <c r="N52" i="15"/>
  <c r="N51" i="15" a="1"/>
  <c r="N51" i="15"/>
  <c r="N50" i="15" a="1"/>
  <c r="N50" i="15"/>
  <c r="N49" i="15" a="1"/>
  <c r="N49" i="15"/>
  <c r="N34" i="15" a="1"/>
  <c r="N34" i="15"/>
  <c r="N30" i="15" a="1"/>
  <c r="N30" i="15"/>
  <c r="O6" i="15" a="1"/>
  <c r="O6" i="15"/>
  <c r="O10" i="15" a="1"/>
  <c r="O10" i="15"/>
  <c r="O19" i="15" a="1"/>
  <c r="O19" i="15"/>
  <c r="N18" i="15" a="1"/>
  <c r="N18" i="15"/>
  <c r="O15" i="15" a="1"/>
  <c r="O15" i="15"/>
  <c r="N14" i="15" a="1"/>
  <c r="N14" i="15"/>
  <c r="O28" i="15" a="1"/>
  <c r="O28" i="15"/>
  <c r="N27" i="15" a="1"/>
  <c r="N27" i="15"/>
  <c r="O24" i="15" a="1"/>
  <c r="O24" i="15"/>
  <c r="N23" i="15" a="1"/>
  <c r="N23" i="15"/>
  <c r="O36" i="15" a="1"/>
  <c r="O36" i="15"/>
  <c r="N35" i="15" a="1"/>
  <c r="N35" i="15"/>
  <c r="N31" i="15" a="1"/>
  <c r="N31" i="15"/>
  <c r="O38" i="15" a="1"/>
  <c r="O38" i="15"/>
  <c r="O40" i="15" a="1"/>
  <c r="O40" i="15"/>
  <c r="O42" i="15" a="1"/>
  <c r="O42" i="15"/>
  <c r="O44" i="15" a="1"/>
  <c r="O44" i="15"/>
  <c r="O46" i="15" a="1"/>
  <c r="O46" i="15"/>
  <c r="O27" i="15" a="1"/>
  <c r="O27" i="15"/>
  <c r="O23" i="15" a="1"/>
  <c r="O23" i="15"/>
  <c r="O7" i="15" a="1"/>
  <c r="O7" i="15"/>
  <c r="N19" i="15" a="1"/>
  <c r="N19" i="15"/>
  <c r="N15" i="15" a="1"/>
  <c r="N15" i="15"/>
  <c r="N12" i="15" a="1"/>
  <c r="N12" i="15"/>
  <c r="O25" i="15" a="1"/>
  <c r="O25" i="15"/>
  <c r="O21" i="15" a="1"/>
  <c r="O21" i="15"/>
  <c r="N36" i="15" a="1"/>
  <c r="N36" i="15"/>
  <c r="N32" i="15" a="1"/>
  <c r="N32" i="15"/>
  <c r="N17" i="15" a="1"/>
  <c r="N17" i="15"/>
  <c r="N13" i="15" a="1"/>
  <c r="N13" i="15"/>
  <c r="N11" i="15" a="1"/>
  <c r="N11" i="15"/>
  <c r="O26" i="15" a="1"/>
  <c r="O26" i="15"/>
  <c r="N25" i="15" a="1"/>
  <c r="N25" i="15"/>
  <c r="N29" i="15" a="1"/>
  <c r="N29" i="15"/>
  <c r="N37" i="15" a="1"/>
  <c r="N37" i="15"/>
  <c r="O39" i="15" a="1"/>
  <c r="O39" i="15"/>
  <c r="O41" i="15" a="1"/>
  <c r="O41" i="15"/>
  <c r="O43" i="15" a="1"/>
  <c r="O43" i="15"/>
  <c r="N9" i="15" a="1"/>
  <c r="N9" i="15"/>
  <c r="N6" i="15" a="1"/>
  <c r="N6" i="15"/>
  <c r="N10" i="15" a="1"/>
  <c r="N10" i="15"/>
  <c r="N7" i="15" a="1"/>
  <c r="N7" i="15"/>
  <c r="K26" i="15" a="1"/>
  <c r="K26" i="15"/>
  <c r="L33" i="15" a="1"/>
  <c r="L33" i="15"/>
  <c r="L45" i="15" a="1"/>
  <c r="L45" i="15"/>
  <c r="L41" i="15" a="1"/>
  <c r="L41" i="15"/>
  <c r="K52" i="15" a="1"/>
  <c r="K52" i="15"/>
  <c r="H11" i="15" a="1"/>
  <c r="H11" i="15"/>
  <c r="H13" i="15" a="1"/>
  <c r="H13" i="15"/>
  <c r="I29" i="15" a="1"/>
  <c r="I29" i="15"/>
  <c r="L28" i="15" a="1"/>
  <c r="L28" i="15"/>
  <c r="K27" i="15" a="1"/>
  <c r="K27" i="15"/>
  <c r="L24" i="15" a="1"/>
  <c r="L24" i="15"/>
  <c r="K23" i="15" a="1"/>
  <c r="K23" i="15"/>
  <c r="L21" i="15" a="1"/>
  <c r="L21" i="15"/>
  <c r="L34" i="15" a="1"/>
  <c r="L34" i="15"/>
  <c r="L30" i="15" a="1"/>
  <c r="L30" i="15"/>
  <c r="L46" i="15" a="1"/>
  <c r="L46" i="15"/>
  <c r="L42" i="15" a="1"/>
  <c r="L42" i="15"/>
  <c r="L54" i="15" a="1"/>
  <c r="L54" i="15"/>
  <c r="K53" i="15" a="1"/>
  <c r="K53" i="15"/>
  <c r="L50" i="15" a="1"/>
  <c r="L50" i="15"/>
  <c r="K49" i="15" a="1"/>
  <c r="K49" i="15"/>
  <c r="K6" i="15" a="1"/>
  <c r="K6" i="15"/>
  <c r="K10" i="15" a="1"/>
  <c r="K10" i="15"/>
  <c r="K22" i="15" a="1"/>
  <c r="K22" i="15"/>
  <c r="K48" i="15" a="1"/>
  <c r="K48" i="15"/>
  <c r="E23" i="15" a="1"/>
  <c r="E23" i="15"/>
  <c r="F47" i="15" a="1"/>
  <c r="F47" i="15"/>
  <c r="E52" i="15" a="1"/>
  <c r="E52" i="15"/>
  <c r="E48" i="15" a="1"/>
  <c r="E48" i="15"/>
  <c r="L6" i="15" a="1"/>
  <c r="L6" i="15"/>
  <c r="L8" i="15" a="1"/>
  <c r="L8" i="15"/>
  <c r="K7" i="15" a="1"/>
  <c r="K7" i="15"/>
  <c r="E20" i="15" a="1"/>
  <c r="E20" i="15"/>
  <c r="E22" i="15" a="1"/>
  <c r="E22" i="15"/>
  <c r="E55" i="15" a="1"/>
  <c r="E55" i="15"/>
  <c r="E51" i="15" a="1"/>
  <c r="E51" i="15"/>
  <c r="H19" i="15" a="1"/>
  <c r="H19" i="15"/>
  <c r="I27" i="15" a="1"/>
  <c r="I27" i="15"/>
  <c r="H21" i="15" a="1"/>
  <c r="H21" i="15"/>
  <c r="H37" i="15" a="1"/>
  <c r="H37" i="15"/>
  <c r="H33" i="15" a="1"/>
  <c r="H33" i="15"/>
  <c r="L9" i="15" a="1"/>
  <c r="L9" i="15"/>
  <c r="K8" i="15" a="1"/>
  <c r="K8" i="15"/>
  <c r="K11" i="15" a="1"/>
  <c r="K11" i="15"/>
  <c r="K19" i="15" a="1"/>
  <c r="K19" i="15"/>
  <c r="L16" i="15" a="1"/>
  <c r="L16" i="15"/>
  <c r="L12" i="15" a="1"/>
  <c r="L12" i="15"/>
  <c r="K20" i="15" a="1"/>
  <c r="K20" i="15"/>
  <c r="K28" i="15" a="1"/>
  <c r="K28" i="15"/>
  <c r="L25" i="15" a="1"/>
  <c r="L25" i="15"/>
  <c r="K24" i="15" a="1"/>
  <c r="K24" i="15"/>
  <c r="K21" i="15" a="1"/>
  <c r="K21" i="15"/>
  <c r="L29" i="15" a="1"/>
  <c r="L29" i="15"/>
  <c r="L35" i="15" a="1"/>
  <c r="L35" i="15"/>
  <c r="K34" i="15" a="1"/>
  <c r="K34" i="15"/>
  <c r="L31" i="15" a="1"/>
  <c r="L31" i="15"/>
  <c r="K30" i="15" a="1"/>
  <c r="K30" i="15"/>
  <c r="K46" i="15" a="1"/>
  <c r="K46" i="15"/>
  <c r="L43" i="15" a="1"/>
  <c r="L43" i="15"/>
  <c r="K42" i="15" a="1"/>
  <c r="K42" i="15"/>
  <c r="L39" i="15" a="1"/>
  <c r="L39" i="15"/>
  <c r="L55" i="15" a="1"/>
  <c r="L55" i="15"/>
  <c r="K54" i="15" a="1"/>
  <c r="K54" i="15"/>
  <c r="L51" i="15" a="1"/>
  <c r="L51" i="15"/>
  <c r="K50" i="15" a="1"/>
  <c r="K50" i="15"/>
  <c r="E25" i="15" a="1"/>
  <c r="E25" i="15"/>
  <c r="H15" i="15" a="1"/>
  <c r="H15" i="15"/>
  <c r="L37" i="15" a="1"/>
  <c r="L37" i="15"/>
  <c r="E27" i="15" a="1"/>
  <c r="E27" i="15"/>
  <c r="E54" i="15" a="1"/>
  <c r="E54" i="15"/>
  <c r="E50" i="15" a="1"/>
  <c r="E50" i="15"/>
  <c r="H17" i="15" a="1"/>
  <c r="H17" i="15"/>
  <c r="I25" i="15" a="1"/>
  <c r="I25" i="15"/>
  <c r="H36" i="15" a="1"/>
  <c r="H36" i="15"/>
  <c r="H32" i="15" a="1"/>
  <c r="H32" i="15"/>
  <c r="H47" i="15" a="1"/>
  <c r="H47" i="15"/>
  <c r="L11" i="15" a="1"/>
  <c r="L11" i="15"/>
  <c r="L17" i="15" a="1"/>
  <c r="L17" i="15"/>
  <c r="L20" i="15" a="1"/>
  <c r="L20" i="15"/>
  <c r="L26" i="15" a="1"/>
  <c r="L26" i="15"/>
  <c r="L36" i="15" a="1"/>
  <c r="L36" i="15"/>
  <c r="K35" i="15" a="1"/>
  <c r="K35" i="15"/>
  <c r="L38" i="15" a="1"/>
  <c r="L38" i="15"/>
  <c r="L44" i="15" a="1"/>
  <c r="L44" i="15"/>
  <c r="K43" i="15" a="1"/>
  <c r="K43" i="15"/>
  <c r="K47" i="15" a="1"/>
  <c r="K47" i="15"/>
  <c r="K55" i="15" a="1"/>
  <c r="K55" i="15"/>
  <c r="L52" i="15" a="1"/>
  <c r="L52" i="15"/>
  <c r="F17" i="15" a="1"/>
  <c r="F17" i="15"/>
  <c r="F13" i="15" a="1"/>
  <c r="F13" i="15"/>
  <c r="F27" i="15" a="1"/>
  <c r="F27" i="15"/>
  <c r="F23" i="15" a="1"/>
  <c r="F23" i="15"/>
  <c r="H6" i="15" a="1"/>
  <c r="H6" i="15"/>
  <c r="H10" i="15" a="1"/>
  <c r="H10" i="15"/>
  <c r="I7" i="15" a="1"/>
  <c r="I7" i="15"/>
  <c r="I11" i="15" a="1"/>
  <c r="I11" i="15"/>
  <c r="I17" i="15" a="1"/>
  <c r="I17" i="15"/>
  <c r="H16" i="15" a="1"/>
  <c r="H16" i="15"/>
  <c r="I13" i="15" a="1"/>
  <c r="I13" i="15"/>
  <c r="H12" i="15" a="1"/>
  <c r="H12" i="15"/>
  <c r="I20" i="15" a="1"/>
  <c r="I20" i="15"/>
  <c r="I26" i="15" a="1"/>
  <c r="I26" i="15"/>
  <c r="H25" i="15" a="1"/>
  <c r="H25" i="15"/>
  <c r="I22" i="15" a="1"/>
  <c r="I22" i="15"/>
  <c r="I38" i="15" a="1"/>
  <c r="I38" i="15"/>
  <c r="H46" i="15" a="1"/>
  <c r="H46" i="15"/>
  <c r="H45" i="15" a="1"/>
  <c r="H45" i="15"/>
  <c r="H44" i="15" a="1"/>
  <c r="H44" i="15"/>
  <c r="H43" i="15" a="1"/>
  <c r="H43" i="15"/>
  <c r="H42" i="15" a="1"/>
  <c r="H42" i="15"/>
  <c r="H41" i="15" a="1"/>
  <c r="H41" i="15"/>
  <c r="H40" i="15" a="1"/>
  <c r="H40" i="15"/>
  <c r="I47" i="15" a="1"/>
  <c r="I47" i="15"/>
  <c r="H55" i="15" a="1"/>
  <c r="H55" i="15"/>
  <c r="H54" i="15" a="1"/>
  <c r="H54" i="15"/>
  <c r="H53" i="15" a="1"/>
  <c r="H53" i="15"/>
  <c r="H52" i="15" a="1"/>
  <c r="H52" i="15"/>
  <c r="H51" i="15" a="1"/>
  <c r="H51" i="15"/>
  <c r="H50" i="15" a="1"/>
  <c r="H50" i="15"/>
  <c r="H49" i="15" a="1"/>
  <c r="H49" i="15"/>
  <c r="F18" i="15" a="1"/>
  <c r="F18" i="15"/>
  <c r="F14" i="15" a="1"/>
  <c r="F14" i="15"/>
  <c r="I16" i="15" a="1"/>
  <c r="I16" i="15"/>
  <c r="F16" i="15" a="1"/>
  <c r="F16" i="15"/>
  <c r="F12" i="15" a="1"/>
  <c r="F12" i="15"/>
  <c r="I6" i="15" a="1"/>
  <c r="I6" i="15"/>
  <c r="I8" i="15" a="1"/>
  <c r="I8" i="15"/>
  <c r="I18" i="15" a="1"/>
  <c r="I18" i="15"/>
  <c r="I14" i="15" a="1"/>
  <c r="I14" i="15"/>
  <c r="H26" i="15" a="1"/>
  <c r="H26" i="15"/>
  <c r="H22" i="15" a="1"/>
  <c r="H22" i="15"/>
  <c r="I37" i="15" a="1"/>
  <c r="I37" i="15"/>
  <c r="I36" i="15" a="1"/>
  <c r="I36" i="15"/>
  <c r="I35" i="15" a="1"/>
  <c r="I35" i="15"/>
  <c r="I34" i="15" a="1"/>
  <c r="I34" i="15"/>
  <c r="I33" i="15" a="1"/>
  <c r="I33" i="15"/>
  <c r="I32" i="15" a="1"/>
  <c r="I32" i="15"/>
  <c r="I31" i="15" a="1"/>
  <c r="I31" i="15"/>
  <c r="I12" i="15" a="1"/>
  <c r="I12" i="15"/>
  <c r="F19" i="15" a="1"/>
  <c r="F19" i="15"/>
  <c r="F15" i="15" a="1"/>
  <c r="F15" i="15"/>
  <c r="F20" i="15" a="1"/>
  <c r="F20" i="15"/>
  <c r="E26" i="15" a="1"/>
  <c r="E26" i="15"/>
  <c r="I9" i="15" a="1"/>
  <c r="I9" i="15"/>
  <c r="I19" i="15" a="1"/>
  <c r="I19" i="15"/>
  <c r="H18" i="15" a="1"/>
  <c r="H18" i="15"/>
  <c r="I28" i="15" a="1"/>
  <c r="I28" i="15"/>
  <c r="H27" i="15" a="1"/>
  <c r="H27" i="15"/>
  <c r="I24" i="15" a="1"/>
  <c r="I24" i="15"/>
  <c r="I46" i="15" a="1"/>
  <c r="I46" i="15"/>
  <c r="I45" i="15" a="1"/>
  <c r="I45" i="15"/>
  <c r="I44" i="15" a="1"/>
  <c r="I44" i="15"/>
  <c r="I43" i="15" a="1"/>
  <c r="I43" i="15"/>
  <c r="I42" i="15" a="1"/>
  <c r="I42" i="15"/>
  <c r="I41" i="15" a="1"/>
  <c r="I41" i="15"/>
  <c r="I40" i="15" a="1"/>
  <c r="I40" i="15"/>
  <c r="I55" i="15" a="1"/>
  <c r="I55" i="15"/>
  <c r="I54" i="15" a="1"/>
  <c r="I54" i="15"/>
  <c r="I53" i="15" a="1"/>
  <c r="I53" i="15"/>
  <c r="I52" i="15" a="1"/>
  <c r="I52" i="15"/>
  <c r="I51" i="15" a="1"/>
  <c r="I51" i="15"/>
  <c r="I50" i="15" a="1"/>
  <c r="I50" i="15"/>
  <c r="I49" i="15" a="1"/>
  <c r="I49" i="15"/>
  <c r="F29" i="15" a="1"/>
  <c r="F29" i="15"/>
  <c r="F30" i="15" a="1"/>
  <c r="F30" i="15"/>
  <c r="F31" i="15" a="1"/>
  <c r="F31" i="15"/>
  <c r="F32" i="15" a="1"/>
  <c r="F32" i="15"/>
  <c r="F33" i="15" a="1"/>
  <c r="F33" i="15"/>
  <c r="F34" i="15" a="1"/>
  <c r="F34" i="15"/>
  <c r="F35" i="15" a="1"/>
  <c r="F35" i="15"/>
  <c r="F36" i="15" a="1"/>
  <c r="F36" i="15"/>
  <c r="F37" i="15" a="1"/>
  <c r="F37" i="15"/>
  <c r="E30" i="15" a="1"/>
  <c r="E30" i="15"/>
  <c r="E31" i="15" a="1"/>
  <c r="E31" i="15"/>
  <c r="E32" i="15" a="1"/>
  <c r="E32" i="15"/>
  <c r="E33" i="15" a="1"/>
  <c r="E33" i="15"/>
  <c r="E34" i="15" a="1"/>
  <c r="E34" i="15"/>
  <c r="E35" i="15" a="1"/>
  <c r="E35" i="15"/>
  <c r="E36" i="15" a="1"/>
  <c r="E36" i="15"/>
  <c r="E37" i="15" a="1"/>
  <c r="E37" i="15"/>
  <c r="E29" i="15" a="1"/>
  <c r="E29" i="15"/>
  <c r="E12" i="15" a="1"/>
  <c r="E12" i="15"/>
  <c r="E13" i="15" a="1"/>
  <c r="E13" i="15"/>
  <c r="E14" i="15" a="1"/>
  <c r="E14" i="15"/>
  <c r="E15" i="15" a="1"/>
  <c r="E15" i="15"/>
  <c r="E16" i="15" a="1"/>
  <c r="E16" i="15"/>
  <c r="E17" i="15" a="1"/>
  <c r="E17" i="15"/>
  <c r="E18" i="15" a="1"/>
  <c r="E18" i="15"/>
  <c r="E19" i="15" a="1"/>
  <c r="E19" i="15"/>
  <c r="E39" i="15" a="1"/>
  <c r="E39" i="15"/>
  <c r="E41" i="15" a="1"/>
  <c r="E41" i="15"/>
  <c r="E43" i="15" a="1"/>
  <c r="E43" i="15"/>
  <c r="E45" i="15" a="1"/>
  <c r="E45" i="15"/>
  <c r="E38" i="15" a="1"/>
  <c r="E38" i="15"/>
  <c r="E40" i="15" a="1"/>
  <c r="E40" i="15"/>
  <c r="E42" i="15" a="1"/>
  <c r="E42" i="15"/>
  <c r="E44" i="15" a="1"/>
  <c r="E44" i="15"/>
  <c r="E46" i="15" a="1"/>
  <c r="E46" i="15"/>
  <c r="F25" i="15" a="1"/>
  <c r="F25" i="15"/>
  <c r="F21" i="15" a="1"/>
  <c r="F21" i="15"/>
  <c r="F24" i="15" a="1"/>
  <c r="F24" i="15"/>
  <c r="F28" i="15" a="1"/>
  <c r="F28" i="15"/>
  <c r="F26" i="15" a="1"/>
  <c r="F26" i="15"/>
  <c r="F46" i="15" a="1"/>
  <c r="F46" i="15"/>
  <c r="F44" i="15" a="1"/>
  <c r="F44" i="15"/>
  <c r="F42" i="15" a="1"/>
  <c r="F42" i="15"/>
  <c r="F40" i="15" a="1"/>
  <c r="F40" i="15"/>
  <c r="F45" i="15" a="1"/>
  <c r="F45" i="15"/>
  <c r="F43" i="15" a="1"/>
  <c r="F43" i="15"/>
  <c r="F41" i="15" a="1"/>
  <c r="F41" i="15"/>
  <c r="F39" i="15" a="1"/>
  <c r="F39" i="15"/>
  <c r="E28" i="15" a="1"/>
  <c r="E28" i="15"/>
  <c r="E24" i="15" a="1"/>
  <c r="E24" i="15"/>
  <c r="F55" i="15" a="1"/>
  <c r="F55" i="15"/>
  <c r="F54" i="15" a="1"/>
  <c r="F54" i="15"/>
  <c r="F53" i="15" a="1"/>
  <c r="F53" i="15"/>
  <c r="F52" i="15" a="1"/>
  <c r="F52" i="15"/>
  <c r="F51" i="15" a="1"/>
  <c r="F51" i="15"/>
  <c r="F50" i="15" a="1"/>
  <c r="F50" i="15"/>
  <c r="F49" i="15" a="1"/>
  <c r="F49" i="15"/>
  <c r="F10" i="15"/>
  <c r="E10" i="15"/>
  <c r="E6" i="15"/>
  <c r="F7" i="15"/>
  <c r="E8" i="15"/>
  <c r="F9" i="15"/>
  <c r="F6" i="15"/>
  <c r="E9" i="15"/>
  <c r="E7" i="15"/>
  <c r="A49" i="15"/>
  <c r="A48" i="15"/>
  <c r="A40" i="15"/>
  <c r="A39" i="15"/>
  <c r="A31" i="15"/>
  <c r="A30" i="15"/>
  <c r="A22" i="15"/>
  <c r="A21" i="15"/>
  <c r="A13" i="15"/>
  <c r="A12" i="15"/>
  <c r="A8" i="15"/>
  <c r="B13" i="15" a="1"/>
  <c r="B13" i="15"/>
  <c r="B17" i="15" a="1"/>
  <c r="B17" i="15"/>
  <c r="B12" i="15" a="1"/>
  <c r="B12" i="15"/>
  <c r="B16" i="15" a="1"/>
  <c r="B16" i="15"/>
  <c r="B11" i="15" a="1"/>
  <c r="B11" i="15"/>
  <c r="B15" i="15" a="1"/>
  <c r="B15" i="15"/>
  <c r="B19" i="15" a="1"/>
  <c r="B19" i="15"/>
  <c r="B14" i="15" a="1"/>
  <c r="B14" i="15"/>
  <c r="B18" i="15" a="1"/>
  <c r="B18" i="15"/>
  <c r="B30" i="15" a="1"/>
  <c r="B30" i="15"/>
  <c r="B34" i="15" a="1"/>
  <c r="B34" i="15"/>
  <c r="B32" i="15" a="1"/>
  <c r="B32" i="15"/>
  <c r="B36" i="15" a="1"/>
  <c r="B36" i="15"/>
  <c r="B33" i="15" a="1"/>
  <c r="B33" i="15"/>
  <c r="B37" i="15" a="1"/>
  <c r="B37" i="15"/>
  <c r="B29" i="15" a="1"/>
  <c r="B29" i="15"/>
  <c r="B31" i="15" a="1"/>
  <c r="B31" i="15"/>
  <c r="B35" i="15" a="1"/>
  <c r="B35" i="15"/>
  <c r="B48" i="15" a="1"/>
  <c r="B48" i="15"/>
  <c r="B52" i="15" a="1"/>
  <c r="B52" i="15"/>
  <c r="B51" i="15" a="1"/>
  <c r="B51" i="15"/>
  <c r="B55" i="15" a="1"/>
  <c r="B55" i="15"/>
  <c r="B47" i="15" a="1"/>
  <c r="B47" i="15"/>
  <c r="B50" i="15" a="1"/>
  <c r="B50" i="15"/>
  <c r="B54" i="15" a="1"/>
  <c r="B54" i="15"/>
  <c r="B53" i="15" a="1"/>
  <c r="B53" i="15"/>
  <c r="B49" i="15" a="1"/>
  <c r="B49" i="15"/>
  <c r="B10" i="15" a="1"/>
  <c r="B10" i="15"/>
  <c r="B9" i="15" a="1"/>
  <c r="B9" i="15"/>
  <c r="B8" i="15" a="1"/>
  <c r="B8" i="15"/>
  <c r="B7" i="15" a="1"/>
  <c r="B7" i="15"/>
  <c r="B20" i="15" a="1"/>
  <c r="B20" i="15"/>
  <c r="B22" i="15" a="1"/>
  <c r="B22" i="15"/>
  <c r="B24" i="15" a="1"/>
  <c r="B24" i="15"/>
  <c r="B26" i="15" a="1"/>
  <c r="B26" i="15"/>
  <c r="B28" i="15" a="1"/>
  <c r="B28" i="15"/>
  <c r="B25" i="15" a="1"/>
  <c r="B25" i="15"/>
  <c r="B23" i="15" a="1"/>
  <c r="B23" i="15"/>
  <c r="B27" i="15" a="1"/>
  <c r="B27" i="15"/>
  <c r="B21" i="15" a="1"/>
  <c r="B21" i="15"/>
  <c r="B45" i="15" a="1"/>
  <c r="B45" i="15"/>
  <c r="B43" i="15" a="1"/>
  <c r="B43" i="15"/>
  <c r="B41" i="15" a="1"/>
  <c r="B41" i="15"/>
  <c r="B39" i="15" a="1"/>
  <c r="B39" i="15"/>
  <c r="B44" i="15" a="1"/>
  <c r="B44" i="15"/>
  <c r="B38" i="15" a="1"/>
  <c r="B38" i="15"/>
  <c r="B42" i="15" a="1"/>
  <c r="B42" i="15"/>
  <c r="B40" i="15" a="1"/>
  <c r="B40" i="15"/>
  <c r="B46" i="15" a="1"/>
  <c r="B46" i="15"/>
  <c r="C7" i="15" a="1"/>
  <c r="C7" i="15"/>
  <c r="C10" i="15" a="1"/>
  <c r="C10" i="15"/>
  <c r="C9" i="15" a="1"/>
  <c r="C9" i="15"/>
  <c r="C6" i="15" a="1"/>
  <c r="C6" i="15"/>
  <c r="C8" i="15" a="1"/>
  <c r="C8" i="15"/>
  <c r="C21" i="15" a="1"/>
  <c r="C21" i="15"/>
  <c r="C23" i="15" a="1"/>
  <c r="C23" i="15"/>
  <c r="C25" i="15" a="1"/>
  <c r="C25" i="15"/>
  <c r="C27" i="15" a="1"/>
  <c r="C27" i="15"/>
  <c r="C24" i="15" a="1"/>
  <c r="C24" i="15"/>
  <c r="C26" i="15" a="1"/>
  <c r="C26" i="15"/>
  <c r="C22" i="15" a="1"/>
  <c r="C22" i="15"/>
  <c r="C28" i="15" a="1"/>
  <c r="C28" i="15"/>
  <c r="C20" i="15" a="1"/>
  <c r="C20" i="15"/>
  <c r="C45" i="15" a="1"/>
  <c r="C45" i="15"/>
  <c r="C43" i="15" a="1"/>
  <c r="C43" i="15"/>
  <c r="C41" i="15" a="1"/>
  <c r="C41" i="15"/>
  <c r="C39" i="15" a="1"/>
  <c r="C39" i="15"/>
  <c r="C42" i="15" a="1"/>
  <c r="C42" i="15"/>
  <c r="C38" i="15" a="1"/>
  <c r="C38" i="15"/>
  <c r="C46" i="15" a="1"/>
  <c r="C46" i="15"/>
  <c r="C44" i="15" a="1"/>
  <c r="C44" i="15"/>
  <c r="C40" i="15" a="1"/>
  <c r="C40" i="15"/>
  <c r="C14" i="15" a="1"/>
  <c r="C14" i="15"/>
  <c r="C18" i="15" a="1"/>
  <c r="C18" i="15"/>
  <c r="C12" i="15" a="1"/>
  <c r="C12" i="15"/>
  <c r="C16" i="15" a="1"/>
  <c r="C16" i="15"/>
  <c r="C11" i="15" a="1"/>
  <c r="C11" i="15"/>
  <c r="C13" i="15" a="1"/>
  <c r="C13" i="15"/>
  <c r="C17" i="15" a="1"/>
  <c r="C17" i="15"/>
  <c r="C19" i="15" a="1"/>
  <c r="C19" i="15"/>
  <c r="C15" i="15" a="1"/>
  <c r="C15" i="15"/>
  <c r="C31" i="15" a="1"/>
  <c r="C31" i="15"/>
  <c r="C35" i="15" a="1"/>
  <c r="C35" i="15"/>
  <c r="C29" i="15" a="1"/>
  <c r="C29" i="15"/>
  <c r="C30" i="15" a="1"/>
  <c r="C30" i="15"/>
  <c r="C34" i="15" a="1"/>
  <c r="C34" i="15"/>
  <c r="C33" i="15" a="1"/>
  <c r="C33" i="15"/>
  <c r="C37" i="15" a="1"/>
  <c r="C37" i="15"/>
  <c r="C36" i="15" a="1"/>
  <c r="C36" i="15"/>
  <c r="C32" i="15" a="1"/>
  <c r="C32" i="15"/>
  <c r="C49" i="15" a="1"/>
  <c r="C49" i="15"/>
  <c r="C53" i="15" a="1"/>
  <c r="C53" i="15"/>
  <c r="C47" i="15" a="1"/>
  <c r="C47" i="15"/>
  <c r="C51" i="15" a="1"/>
  <c r="C51" i="15"/>
  <c r="C55" i="15" a="1"/>
  <c r="C55" i="15"/>
  <c r="C48" i="15" a="1"/>
  <c r="C48" i="15"/>
  <c r="C52" i="15" a="1"/>
  <c r="C52" i="15"/>
  <c r="C54" i="15" a="1"/>
  <c r="C54" i="15"/>
  <c r="C50" i="15" a="1"/>
  <c r="C50" i="15"/>
  <c r="C27" i="7"/>
  <c r="B27" i="7"/>
  <c r="C24" i="7"/>
  <c r="B24" i="7"/>
  <c r="C21" i="7"/>
  <c r="B21" i="7"/>
  <c r="C18" i="7"/>
  <c r="B18" i="7"/>
  <c r="C15" i="7"/>
  <c r="B15" i="7"/>
  <c r="C12" i="7"/>
  <c r="B12" i="7"/>
  <c r="C9" i="7"/>
  <c r="B9" i="7"/>
  <c r="F9" i="7"/>
  <c r="F21" i="7"/>
  <c r="F24" i="7"/>
  <c r="G18" i="7"/>
  <c r="G15" i="7"/>
  <c r="F18" i="7"/>
  <c r="G24" i="7"/>
  <c r="G12" i="7"/>
  <c r="G21" i="7"/>
  <c r="G9" i="7"/>
  <c r="F15" i="7"/>
  <c r="F12" i="7"/>
</calcChain>
</file>

<file path=xl/sharedStrings.xml><?xml version="1.0" encoding="utf-8"?>
<sst xmlns="http://schemas.openxmlformats.org/spreadsheetml/2006/main" count="749" uniqueCount="573">
  <si>
    <t>STAGE</t>
  </si>
  <si>
    <t>STATUS</t>
  </si>
  <si>
    <t>There is a legal framework</t>
  </si>
  <si>
    <t xml:space="preserve">If there is a legal framework, the framework has been reviewed in terms of how current it is.  </t>
  </si>
  <si>
    <t>Legislation includes SOPs on outbreak declaration and response</t>
  </si>
  <si>
    <t>Legislation includes dog keeping and compulsory rabies vaccination</t>
  </si>
  <si>
    <t>Legal frameworks are in the process of being updated to include specifications on international movements of animals, preferably also compulsory vaccination of dogs</t>
  </si>
  <si>
    <t>A case definition for animal rabies is available</t>
  </si>
  <si>
    <t>A case definition for human rabies is available</t>
  </si>
  <si>
    <t>Rabies is defined as a notifiable disease in humans and animals in the framework</t>
  </si>
  <si>
    <t>Coordinated rabies surveillance systems covering the entire country have been established, including agreed SOPs</t>
  </si>
  <si>
    <t>Collection of health economic data on rabies control at national level has been ongoing</t>
  </si>
  <si>
    <t>Effective surveillance system for rabies maintained</t>
  </si>
  <si>
    <t>Rabies exposure (dog bite) reporting and documentation have been reviewed and data compiled</t>
  </si>
  <si>
    <t>Collection of health economic data on rabies control, availability of some local or national health economic data to make the case for rabies control investment</t>
  </si>
  <si>
    <t>Vigorous surveillance is being conducted</t>
  </si>
  <si>
    <t>Surveillance</t>
  </si>
  <si>
    <t>Reporting of dog rabies from local to national level and data analysis capacity at the national level has been established</t>
  </si>
  <si>
    <t>Reporting of human rabies from local to national level and data analysis capacity at the national level has been established</t>
  </si>
  <si>
    <t>Several rabies suspect sample of either animals or humans is submitted to an international rabies reference laboratory for confirmation</t>
  </si>
  <si>
    <t>Rabies diagnostic capacity has been established in at least one national laboratory</t>
  </si>
  <si>
    <t>Mechanisms and capacity for sample collection and transport have been established</t>
  </si>
  <si>
    <t>Capacity for confirmatory rabies diagnosis in at least one laboratory of the country has been established</t>
  </si>
  <si>
    <t>Possibility for isolation of rabies virus variants has been identified (molecular epidemiology) inside or outside the country</t>
  </si>
  <si>
    <t>An adequate number of samples from suspected cases in dogs in the country are tested on a regular basis</t>
  </si>
  <si>
    <t>An adequate number of samples from suspected cases in susceptible domestic and wild animal species in the country are tested</t>
  </si>
  <si>
    <t>Legislation</t>
  </si>
  <si>
    <t>Data collection and analysis</t>
  </si>
  <si>
    <t xml:space="preserve">Contacts to an international rabies reference laboratory or international collaborating/reference center are established </t>
  </si>
  <si>
    <t>Laboratory diagnosis is available at central and provincial or district levels for animal samples</t>
  </si>
  <si>
    <t>Laboratory diagnosis is available at central and provincial or district levels for human samples</t>
  </si>
  <si>
    <t>Laboratory diagnosis</t>
  </si>
  <si>
    <t>Responsible dog ownership promotion has been included into regular rabies awareness campaigns</t>
  </si>
  <si>
    <t>Results of rabies samples are shared appropriately with local and national authorities</t>
  </si>
  <si>
    <t>Plans for training of trainers, refresher courses on rabies for professionals in human and animal health have been developed</t>
  </si>
  <si>
    <t>Studies on Knowledge, Attitude and Practice (KAP survey) on rabies have been conducted in pilot areas</t>
  </si>
  <si>
    <t>Training of medical and veterinary personnel has been continued</t>
  </si>
  <si>
    <t>Rabies communication plan updated (e.g. Campaigns to promote responsible dog ownership have been expanded to more areas)</t>
  </si>
  <si>
    <t>Public awareness campaigns are directed and adapted to specific target groups</t>
  </si>
  <si>
    <t>Communication plan on approaching rabies elimination is being elaborated and publicized</t>
  </si>
  <si>
    <t>Continue awareness programmes, have been revisited to focus on maintenance of freedom and elimination efforts</t>
  </si>
  <si>
    <t>Campaigns on dog population management and responsible dog ownership maintained</t>
  </si>
  <si>
    <t>Vaccination of domestic dogs is promoted and conducted</t>
  </si>
  <si>
    <t>Continue public awareness campaigns</t>
  </si>
  <si>
    <t>Public awareness campaigns have been initiated</t>
  </si>
  <si>
    <t>Education on rabies prevention and control for communities, including dog bite prevention and management of dog bites have been explored</t>
  </si>
  <si>
    <t>A rabies communication plan has been developed</t>
  </si>
  <si>
    <t>Sensitization of community leaders and authorities have been initiated</t>
  </si>
  <si>
    <t>Responsible dog ownership and vaccination of both owned and ownerless dogs have been promoted</t>
  </si>
  <si>
    <t>Organization of rabies control activities (at least in pilot areas) have been conducted</t>
  </si>
  <si>
    <t>Protocols for coordinated action on reported outbreaks have been elaborated</t>
  </si>
  <si>
    <t>Vaccines and biologics for human rabies prophylaxis are available in the country</t>
  </si>
  <si>
    <t>Distribution of functional rabies treatment centers in the country (e.g. recording number of patients per day, number of doses currently used)</t>
  </si>
  <si>
    <t>Dog rabies vaccines available and access has been scaled up</t>
  </si>
  <si>
    <t>Any use of human biologics not WHO-pre-qualified is being phased out (e.g. nerve tissue vaccines)</t>
  </si>
  <si>
    <t>Only quality dog vaccines in accordance with OIE standards are being used</t>
  </si>
  <si>
    <t>Dog vaccination campaigns are regularly implemented in response to human cases and animal outbreaks</t>
  </si>
  <si>
    <t>SOPs on IBCM have been agreed upon, including sharing of information between sectors</t>
  </si>
  <si>
    <t>SOPs for the observation of dogs involved in biting incidents available</t>
  </si>
  <si>
    <t>Professionals have been trained in outbreak response and investigation</t>
  </si>
  <si>
    <t>Areas free of dog rabies and absence of human rabies have been assessed and verified in accordance with the national rabies control and prevention strategy</t>
  </si>
  <si>
    <t>Dog vaccination campaigns are maintained in zones where dog rabies is still present or where justified otherwise</t>
  </si>
  <si>
    <t>Modified protocols on criteria for PEP administration in rabies free areas have been developed</t>
  </si>
  <si>
    <t>All professionals at risk of contracting rabies have been immunized</t>
  </si>
  <si>
    <t>A long-term plan, including emergency response to outbreaks following re-introduction has been developed</t>
  </si>
  <si>
    <t>Based on a risk assessment, dog vaccination campaigns are maintained where justified</t>
  </si>
  <si>
    <t>Capacity for outbreak and re-introduction response maintained</t>
  </si>
  <si>
    <t>Modified protocols on criteria for PEP administration for rabies free areas implemented</t>
  </si>
  <si>
    <t>Measures applied in designated dog-rabies free zones</t>
  </si>
  <si>
    <t>Human biologics have been made available and accessible to most parts of the country</t>
  </si>
  <si>
    <t>Facilities for veterinary observation of rabies-suspect biting dog comply with international animal welfare regulations</t>
  </si>
  <si>
    <t>Facilities for veterinary observation of rabies-suspect biting dog have been established in sufficient number</t>
  </si>
  <si>
    <t>Dog population studies to determine size, turn-over and accessibility have been conducted in pilot areas</t>
  </si>
  <si>
    <t>More detailed dog ecology and KAP surveys, with refinement of strategy as indicated</t>
  </si>
  <si>
    <t>Identification of main national stakeholders in rabies prevention and control has been carried out</t>
  </si>
  <si>
    <t>Stakeholder consultations held</t>
  </si>
  <si>
    <t>Intersectoral rabies task force, committee or working group established</t>
  </si>
  <si>
    <t>Based from pilot area experience, a short term rabies action plan has been elaborated and endorsed by relevant stakeholders at national and local levels</t>
  </si>
  <si>
    <t>Mechanisms for mobilizing emergency funds in case of an outbreak have been identified</t>
  </si>
  <si>
    <t>Mechanisms for regular intersectoral collaboration are in place and implemented</t>
  </si>
  <si>
    <t>A national intersectoral programme and strategy for rabies prevention, control and elimination has been drafted and shared with all relevant parties</t>
  </si>
  <si>
    <t>Government resources identified and allocated for rabies control</t>
  </si>
  <si>
    <t>Role of private sector has been explained more in detail.</t>
  </si>
  <si>
    <t>The epidemiological situation has been reviewed and national programme and strategy have been adapted as needed</t>
  </si>
  <si>
    <t>Dialogue with neighbouring or other countries has started, establishment of a cross-border plan</t>
  </si>
  <si>
    <t>Veterinary border inspection and quarantine measures are fully implemented in accordance with national regulations</t>
  </si>
  <si>
    <t>Epidemiology situation (including wildlife, if applicable) has been reviewed and the national strategy adapted as needed</t>
  </si>
  <si>
    <t>Cross-cutting issues</t>
  </si>
  <si>
    <t>Thorough (70% of the total dog population) mass dog vaccination campaigns are conducted as scheduled throughout the country</t>
  </si>
  <si>
    <t>A reporting and feedback mechanism between all stakeholders (both local and national, human and animal health offices) has been established</t>
  </si>
  <si>
    <t>A reporting and feedback mechanism between all stakeholders (including local and national, human and animal health offices) has been established</t>
  </si>
  <si>
    <t>Evaluation of dog  rabies interventions (eg post-vaccination surveys)</t>
  </si>
  <si>
    <t>Evaluation of human rabies interventions (eg PEP monitoring human patients)</t>
  </si>
  <si>
    <t>The animal rabies case definition has been disseminated to relevant professionals</t>
  </si>
  <si>
    <t>The human rabies case definition has been disseminated to relevant professionals</t>
  </si>
  <si>
    <t>The animal rabies case definition has been reviewed and was endorsed (intersectoral approach)</t>
  </si>
  <si>
    <t>The human rabies case definition has been reviewed and was endorsed (intersectoral approach)</t>
  </si>
  <si>
    <t>subcomponent</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</si>
  <si>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</si>
  <si>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</si>
  <si>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</si>
  <si>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</si>
  <si>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</si>
  <si>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</si>
  <si>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</si>
  <si>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</si>
  <si>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</si>
  <si>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</si>
  <si>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</si>
  <si>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</si>
  <si>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</si>
  <si>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</si>
  <si>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</si>
  <si>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</si>
  <si>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</si>
  <si>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</si>
  <si>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</si>
  <si>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</si>
  <si>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</si>
  <si>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</si>
  <si>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</si>
  <si>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</si>
  <si>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</si>
  <si>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</si>
  <si>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</si>
  <si>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</si>
  <si>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</si>
  <si>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</si>
  <si>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</si>
  <si>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</si>
  <si>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</si>
  <si>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</si>
  <si>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</si>
  <si>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</si>
  <si>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</si>
  <si>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</si>
  <si>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</si>
  <si>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</si>
  <si>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</si>
  <si>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</si>
  <si>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</si>
  <si>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</si>
  <si>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</si>
  <si>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</si>
  <si>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</si>
  <si>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</si>
  <si>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</si>
  <si>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</si>
  <si>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</si>
  <si>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</si>
  <si>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</si>
  <si>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</si>
  <si>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</si>
  <si>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</si>
  <si>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</si>
  <si>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</si>
  <si>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</si>
  <si>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</si>
  <si>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</si>
  <si>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</si>
  <si>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</si>
  <si>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</si>
  <si>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</si>
  <si>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</si>
  <si>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</si>
  <si>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</si>
  <si>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</si>
  <si>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</si>
  <si>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</si>
  <si>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</si>
  <si>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</si>
  <si>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</si>
  <si>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</si>
  <si>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</si>
  <si>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</si>
  <si>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</si>
  <si>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</si>
  <si>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</si>
  <si>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</si>
  <si>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</si>
  <si>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</si>
  <si>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</si>
  <si>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</si>
  <si>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</si>
  <si>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</si>
  <si>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</si>
  <si>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</si>
  <si>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</si>
  <si>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</si>
  <si>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</si>
  <si>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</si>
  <si>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</si>
  <si>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</si>
  <si>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</si>
  <si>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</si>
  <si>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</si>
  <si>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</si>
  <si>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</si>
  <si>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</si>
  <si>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</si>
  <si>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</si>
  <si>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</si>
  <si>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</si>
  <si>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</si>
  <si>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</si>
  <si>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</si>
  <si>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</si>
  <si>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</si>
  <si>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</si>
  <si>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</si>
  <si>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</si>
  <si>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</si>
  <si>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</si>
  <si>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</si>
  <si>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</si>
  <si>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</si>
  <si>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</si>
  <si>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</si>
  <si>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</si>
  <si>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</si>
  <si>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</si>
  <si>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</si>
  <si>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</si>
  <si>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</si>
  <si>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</si>
  <si>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</si>
  <si>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</si>
  <si>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</si>
  <si>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</si>
  <si>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</si>
  <si>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</si>
  <si>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</si>
  <si>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</si>
  <si>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</si>
  <si>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</si>
  <si>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</si>
  <si>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</si>
  <si>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</si>
  <si>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</si>
  <si>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</si>
  <si>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</si>
  <si>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</si>
  <si>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</si>
  <si>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</si>
  <si>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</si>
  <si>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</si>
  <si>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</si>
  <si>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</si>
  <si>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</si>
  <si>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</si>
  <si>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</si>
  <si>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</si>
  <si>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</si>
  <si>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</si>
  <si>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</si>
  <si>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</si>
  <si>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</si>
  <si>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</si>
  <si>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</si>
  <si>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</si>
  <si>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</si>
  <si>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</si>
  <si>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</si>
  <si>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</si>
  <si>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</si>
  <si>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</si>
  <si>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</si>
  <si>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</si>
  <si>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</si>
  <si>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</si>
  <si>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</si>
  <si>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</si>
  <si>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</si>
  <si>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</si>
  <si>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</si>
  <si>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</si>
  <si>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</si>
  <si>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</si>
  <si>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</si>
  <si>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</si>
  <si>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</si>
  <si>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</si>
  <si>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</si>
  <si>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</si>
  <si>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</si>
  <si>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</si>
  <si>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</si>
  <si>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</si>
  <si>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</si>
  <si>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</si>
  <si>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</si>
  <si>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</si>
  <si>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</si>
  <si>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</si>
  <si>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</si>
  <si>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</si>
  <si>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</si>
  <si>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</si>
  <si>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</si>
  <si>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</si>
  <si>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</si>
  <si>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</si>
  <si>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</si>
  <si>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</si>
  <si>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</si>
  <si>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</si>
  <si>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</si>
  <si>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</si>
  <si>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</si>
  <si>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</si>
  <si>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</si>
  <si>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</si>
  <si>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</si>
  <si>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</si>
  <si>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</si>
  <si>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</si>
  <si>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</si>
  <si>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</si>
  <si>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</si>
  <si>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</si>
  <si>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</si>
  <si>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</si>
  <si>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</si>
  <si>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</si>
  <si>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</si>
  <si>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</si>
  <si>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</si>
  <si>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</si>
  <si>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</si>
  <si>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</si>
  <si>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</si>
  <si>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</si>
  <si>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</si>
  <si>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</si>
  <si>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</si>
  <si>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</si>
  <si>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</si>
  <si>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</si>
  <si>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</si>
  <si>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</si>
  <si>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</si>
  <si>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</si>
  <si>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</si>
  <si>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</si>
  <si>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</si>
  <si>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</si>
  <si>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</si>
  <si>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</si>
  <si>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</si>
  <si>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</si>
  <si>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</si>
  <si>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</si>
  <si>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</si>
  <si>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</si>
  <si>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</si>
  <si>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</si>
  <si>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</si>
  <si>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</si>
  <si>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</si>
  <si>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</si>
  <si>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</si>
  <si>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</si>
  <si>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</si>
  <si>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</si>
  <si>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</si>
  <si>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</si>
  <si>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</si>
  <si>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</si>
  <si>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Timely supply of and access to quality human biologics are assured throughout the country (e.g. Pre- and Post- Exposure Prophylaxis available to high risk and exposed individuals throughout the country)</t>
  </si>
  <si>
    <t>COMPONENT</t>
  </si>
  <si>
    <t>ACTIVITY</t>
  </si>
  <si>
    <t>IEC</t>
  </si>
  <si>
    <t>Prevention &amp; Control</t>
  </si>
  <si>
    <t>Dog population issues</t>
  </si>
  <si>
    <t>IEC/Dog population issues</t>
  </si>
  <si>
    <t>PAYS:</t>
  </si>
  <si>
    <t>PRÉPARE PAR :</t>
  </si>
  <si>
    <t xml:space="preserve">DATE DE PRÉPARATION </t>
  </si>
  <si>
    <t>( Vous pouvez sélectionner le nom de votre pays dans la liste déroulante )</t>
  </si>
  <si>
    <t>LÉGISLATION</t>
  </si>
  <si>
    <t>Instructions : Entrez "0 " sous État si Non ou Aucun, ou "1" si Oui</t>
  </si>
  <si>
    <t>Définition de cas nationale pour la rage animales</t>
  </si>
  <si>
    <t>Une définition nationale d’un cas de rage animale est disponible</t>
  </si>
  <si>
    <t>La définition de cas de rage animale a été diffusé aux professionnels concernés</t>
  </si>
  <si>
    <t>Agences de la définition de cas a été diffusée à</t>
  </si>
  <si>
    <t>La définition de cas de rage animale a été examiné et a été approuvé ( approche intersectorielle )</t>
  </si>
  <si>
    <t>Agences et unité de gouvernement local la définition a été approuvé à</t>
  </si>
  <si>
    <t>Définition de cas nationale pour la rage animale</t>
  </si>
  <si>
    <t>Une définition nationale d’un cas de rage humaine est disponible</t>
  </si>
  <si>
    <t>La définition de cas de rage humaine a été diffusé aux professionnels concernés</t>
  </si>
  <si>
    <t>La définition de cas de rage humaine a été examiné et a été approuvé ( approche intersectorielle )</t>
  </si>
  <si>
    <t>Cadre légal</t>
  </si>
  <si>
    <t>Il y a un cadre légal.</t>
  </si>
  <si>
    <t>Titre du cadre et de l'année, il a été adopté</t>
  </si>
  <si>
    <t xml:space="preserve">Si il ya un cadre légal, le cadre a été examiné en termes de comment il est courant  </t>
  </si>
  <si>
    <t>Année du cadre a été examiné</t>
  </si>
  <si>
    <t> La rage est une maladie à declaration obligatoire chez les humains et les animaux dans le cadre</t>
  </si>
  <si>
    <t xml:space="preserve">La législation inclut les propriétaires de chiens et la vaccination obligatoire contre la rage </t>
  </si>
  <si>
    <t>La legislation inclut des procédures opérationelles standards/permanentes (SOPs) à propos des déclarations et de la réponse aux foyers</t>
  </si>
  <si>
    <t>Les cadres légal sont en train d'être mis à jour pour inclure des spécifications sur les mouvements internationaux d'animaux , de préférence vaccination obligatoire des chiens aussi</t>
  </si>
  <si>
    <t>COLLECTE DE DONNÉES ET ANALYSE</t>
  </si>
  <si>
    <t>Signalant de la rage canine du niveau local au niveau national et de la capacité d'analyse des données au niveau national a été établi</t>
  </si>
  <si>
    <t>Signalant de la rage humaine du niveau local au niveau national et de la capacité d'analyse des données au niveau national a été établi</t>
  </si>
  <si>
    <t>L'exposition de la rage ( morsure de chien ) rapports et de documentation ont été étudiés et les données compilées</t>
  </si>
  <si>
    <t>Systèmes de surveillance de la rage coordonnés couvrant l'ensemble du pays ont été établis , y compris les SOPs convenus</t>
  </si>
  <si>
    <t>S'il vous plaît décrire brièvement des systèmes de surveillance</t>
  </si>
  <si>
    <t>Un mécanisme de notification et de l'information en retour entre toutes les parties prenantes ( y compris les bureaux locaux et nationaux, santé humaine et animale ) a été établi</t>
  </si>
  <si>
    <t>La ponctualité des rapports et évaluations , et les intervenants impliqués</t>
  </si>
  <si>
    <t>Surveillance vigoureuse est menée</t>
  </si>
  <si>
    <t>Système de surveillance efficace pour la rage maintenu</t>
  </si>
  <si>
    <t>Des études économiques et de santé</t>
  </si>
  <si>
    <t xml:space="preserve">Une collection de données économiques de la santé sur le contrôle de la rage, une disponibilité de certaines données économiques sur la santé au niveau local ou national pour faire le point sur l’investissement pour le contrôle de la rage </t>
  </si>
  <si>
    <t>Une collection de données économiques de la santé sur le contrôle de la rage au niveau national a été en cours</t>
  </si>
  <si>
    <t>DIAGNOSTIC DE LABORATOIRE</t>
  </si>
  <si>
    <t>Spécimen renvoi à des laboratoires internationaux</t>
  </si>
  <si>
    <t>Contacts à un laboratoire de référence de la rage internationale ou un centre collaborateur / référence internationale sont établis</t>
  </si>
  <si>
    <t>Plusieurs rage échantillon suspect de santé humaine ou animale est soumise à un laboratoire international de référence de la rage pour la confirmation</t>
  </si>
  <si>
    <t>La capacité des laboratoires</t>
  </si>
  <si>
    <t>La capacité de diagnostic de la rage a été établi dans au moins un laboratoire national</t>
  </si>
  <si>
    <t>Capacité pour confirmation du diagnostic de la rage dans au moins un laboratoire du pays a été établi</t>
  </si>
  <si>
    <t>Le diagnostic de laboratoire est disponible au niveau central et provincial ou de district pour les échantillons d'animaux</t>
  </si>
  <si>
    <t>Le diagnostic de laboratoire est disponible au niveau central et provincial ou de district pour les échantillons humains</t>
  </si>
  <si>
    <t>Possibilité pour l'isolement de variants du virus de la rage a été identifié ( épidémiologie moléculaire ) à l'intérieur ou à l'extérieur du pays</t>
  </si>
  <si>
    <t>Les tests de laboratoire</t>
  </si>
  <si>
    <t>Mécanismes et capacités pour la collecte et le transport échantillon ont été établis</t>
  </si>
  <si>
    <t>Les noms des laboratoires de référence de la rage internationales ou centres collaborateurs / référence</t>
  </si>
  <si>
    <t>ÉTAPE</t>
  </si>
  <si>
    <t>RÉALISATIONS / ACTIVITES</t>
  </si>
  <si>
    <t>AUTRES RENSEIGNEMENTS IMPORTANTS
( s'il vous plaît inclure dans REMARQUES )</t>
  </si>
  <si>
    <t>REMARQUES</t>
  </si>
  <si>
    <t>INFORMATION, ÉDUCATION ET LA COMMUNICATION</t>
  </si>
  <si>
    <t>La coordination intersectorielle</t>
  </si>
  <si>
    <t>Les résultats des échantillons de rage sont partagés de façon appropriée avec les autorités locales et nationales</t>
  </si>
  <si>
    <t>Un mécanisme de notification et de feedback entre toutes les parties prenantes (à la fois locales et nationales , humaine et animale des bureaux de santé ) a été établi</t>
  </si>
  <si>
    <t>Plan de communication de la rage</t>
  </si>
  <si>
    <t>Des études sur 'Knowledge, Attitude and Practice (KAP survey)' sur la rage ont été menées dans des zones pilotes</t>
  </si>
  <si>
    <t>Un plan de communication de la rage a été développé</t>
  </si>
  <si>
    <t>Principaux messages et public visé</t>
  </si>
  <si>
    <t>Plan de communication de la rage mis à jour (par exemple, des campagnes de promotion propriétaires responsables de chiens ont été étendues à davantage de domaines )</t>
  </si>
  <si>
    <t>Plan de communication sur l'approche élimination de la rage est en cours d'élaboration et de publicité</t>
  </si>
  <si>
    <t>Des campagnes de sensibilisation de la rage</t>
  </si>
  <si>
    <t>Des campagnes de sensibilisation ont été lancées</t>
  </si>
  <si>
    <t>Education sur la prévention et le contrôle des communautés, y compris la prévention et la gestion des morsures de chien morsure de chien rage ont été explorées</t>
  </si>
  <si>
    <t>La vaccination des chiens domestiques est promue et menée</t>
  </si>
  <si>
    <t>L'étendue géographique de la vaccination de masse des chiens et des campagnes , et la couverture vaccinale</t>
  </si>
  <si>
    <t>Propriétaires responsables de chiens et de vaccination des chiens appartenant à deux et sans maître ont été promus</t>
  </si>
  <si>
    <t>Principaux messages et extente géographique</t>
  </si>
  <si>
    <t>Sensibilisation des leaders communautaires et les autorités ont été lancées</t>
  </si>
  <si>
    <t>Des campagnes de sensibilisation sont dirigées et adaptées à des groupes cibles spécifiques</t>
  </si>
  <si>
    <t>Principaux messages , le public cible et l'étendue géographique</t>
  </si>
  <si>
    <t>Responsable promotion de la possession d'un chien a été inclus dans les campagnes de sensibilisation régulières de la rage</t>
  </si>
  <si>
    <t>Des programmes de sensibilisation continus , ont été revus à se concentrer sur le maintien de la liberté et de l'élimination des efforts</t>
  </si>
  <si>
    <t>Campagnes sur la gestion de la population canine et la propriété de chien responsable maintenus</t>
  </si>
  <si>
    <t>Renforcement des capacités</t>
  </si>
  <si>
    <t>Les plans pour la formation des formateurs , des cours de recyclage sur la rage pour les professionnels de la santé humaine et animale ont été développés</t>
  </si>
  <si>
    <t>Fréquence et participants</t>
  </si>
  <si>
    <t>La formation du personnel médical et vétérinaire a été poursuivi</t>
  </si>
  <si>
    <t>PRÉVENTION ET DE CONTRÔLE</t>
  </si>
  <si>
    <t>Vaccins humains</t>
  </si>
  <si>
    <t>Vaccins du chien</t>
  </si>
  <si>
    <t>Riposte à l'épidémie et d'autres activités de contrôle de la rage</t>
  </si>
  <si>
    <t>Vaccins et produits biologiques pour la prophylaxie de la rage humaine sont disponibles dans le pays</t>
  </si>
  <si>
    <t>Répartition des centres de traitement de la rage fonctionnels dans le pays ( par exemple, nombre d'enregistrement des patients par jour , le nombre de doses actuellement utilisé )</t>
  </si>
  <si>
    <t>Biologiques huamins ont été mis à disposition et accessible à la plupart des régions du pays</t>
  </si>
  <si>
    <t>Fourniture en temps voulu et l'accès aux produits biologiques humaines de qualité sont assurés dans tout le pays (par exemple, avant et après la prophylaxie disponibles à un risque élevé d'exposition et les personnes exposées à travers le pays)</t>
  </si>
  <si>
    <t>Protocoles modifiés sur les critères pour l'administration de la PPE dans les zones indemnes de rage ont été développés</t>
  </si>
  <si>
    <t>Protocoles modifiés sur les critères pour l'administration de la PPE pour les zones indemnes de rage en œuvre</t>
  </si>
  <si>
    <t>Dog vaccins antirabiques disponibles et l'accès a été réduite jusqu'à</t>
  </si>
  <si>
    <t>Seuls les vaccins pour chiens de qualité , conformément aux normes de l'OIE sont utilisées</t>
  </si>
  <si>
    <t>Des campagnes de vaccination de chiens sont régulièrement mises en œuvre en réponse à des cas humains et des flambées animales</t>
  </si>
  <si>
    <t>Des campagnes de vaccination de masse des chiens approfondies ( 70 % de la population canine totale ) sont menées comme prévu dans tout le pays</t>
  </si>
  <si>
    <t>Les méthodes utilisées pour mesurer la couverture vaccinale</t>
  </si>
  <si>
    <t>Des campagnes de vaccination de chiens sont maintenus dans les zones où la rage canine est toujours présent ou lorsque le justifier autrement</t>
  </si>
  <si>
    <t>Basé sur une évaluation des risques , des campagnes de vaccination de chiens sont maintenus lorsque cela est justifié</t>
  </si>
  <si>
    <t>Organisation des activités de contrôle de la rage ( au moins dans les zones pilotes ) ont été menées</t>
  </si>
  <si>
    <t>Protocoles pour une action coordonnée sur les foyers signalés ont été élaborés</t>
  </si>
  <si>
    <t>Protocoles de gestion des cas de morsure intégré ont été convenus , y compris le partage de l'information entre les secteurs</t>
  </si>
  <si>
    <t>Secteurs impliqués</t>
  </si>
  <si>
    <t>Protocoles pour l'observation des chiens impliqués dans les incidents de morsure disponibles</t>
  </si>
  <si>
    <t>Les professionnels ont été formés en réponse à la flambée et d'enquête</t>
  </si>
  <si>
    <t>Agences de professionnels formés</t>
  </si>
  <si>
    <t>Équipements pour l'observation vétérinaire de la rage - suspect mordre chien ont été établies en nombre suffisant</t>
  </si>
  <si>
    <t>Nombre et emplacement des installations</t>
  </si>
  <si>
    <t>Équipements pour l'observation vétérinaire de la rage suspecte chien qui mord conformes aux réglementations internationales de protection des animaux</t>
  </si>
  <si>
    <t>Pourcentage d'établissements qui sont conformes aux réglementations internationales de protection des animaux</t>
  </si>
  <si>
    <t>Les mesures appliquées dans les zones franches chien rage désigné</t>
  </si>
  <si>
    <t>Zones libres de la rage canine et l'absence de rage humaine ont été évaluées et vérifiées conformément à la lutte contre la rage et une stratégie nationale de prévention</t>
  </si>
  <si>
    <t>Tous les professionnels à risque de contracter la rage ont été vaccinés</t>
  </si>
  <si>
    <t>Un plan à long terme , y compris la réponse d'urgence aux épidémies suivante réintroduction a été développé</t>
  </si>
  <si>
    <t>Capacité de déclenchement et de réintroduction réponse maintenue</t>
  </si>
  <si>
    <t xml:space="preserve">LES QUESTIONS RELATIVES Á LA GESTION DE LA POPULATION CANINE </t>
  </si>
  <si>
    <t>Dog études de population pour déterminer la taille , le retournement du produit et l'accessibilité ont été menées dans des zones pilotes</t>
  </si>
  <si>
    <t>Écologie canine plus détaillée et enquêtes KAP , avec raffinement de la stratégie , comme indiqué</t>
  </si>
  <si>
    <t>Méthodes utilisées pour estimer la population canine</t>
  </si>
  <si>
    <t>QUESTIONS TRANSVERSALES</t>
  </si>
  <si>
    <t>La collaboration intersectorielle</t>
  </si>
  <si>
    <t xml:space="preserve">L’identification de plusieurs acteurs nationaux dans la prevention et le contrôle de la rage a été effectuée </t>
  </si>
  <si>
    <t>Des consultations des acteurs ont été tenues</t>
  </si>
  <si>
    <t>Un groupe de travail, une task force ou un comité intersectoriel sur la rage est établi</t>
  </si>
  <si>
    <t>Institutions des membres du groupe de travail</t>
  </si>
  <si>
    <t>Des méchanismes pour une collaboration intersectorielle régulière son ten places et sont mis en oeuvre</t>
  </si>
  <si>
    <t xml:space="preserve">Rôle du secteur privé a été expliqué plus en détail </t>
  </si>
  <si>
    <t>Le programme national</t>
  </si>
  <si>
    <t xml:space="preserve">Basée sur l’expérience de zones pilotes, un plan d’action contre la rage à court terme a été élaboré et endossé par des acteurs concernés au niveau local et national </t>
  </si>
  <si>
    <t>Des mechanisms pour mobiliser des fonds en urgence en cas de foyer ont été identifiés</t>
  </si>
  <si>
    <t xml:space="preserve">Un programme national intersectoriel et une stratégie pour la prevention, le contrôle et l’élimination de la rage ont été rédigés et partagés avec toutes les parties concernées </t>
  </si>
  <si>
    <t xml:space="preserve">Des ressources gouvernementales sont identifies et attribuées au contrôle de la rage </t>
  </si>
  <si>
    <t>L'évaluation des interventions de la rage de chien ( par exemple, les enquêtes post- vaccination )</t>
  </si>
  <si>
    <t>L'évaluation des interventions de rage humaine (par exemple PEP suivi des patients humains )</t>
  </si>
  <si>
    <t>La situation épidémiologique a été revu et le programme et la stratégie nationale ont été adaptés en fonction des besoins</t>
  </si>
  <si>
    <t>Situation d' épidémiologie ( y compris la faune , le cas échéant ) a été examiné et la stratégie nationale adaptée au besoin</t>
  </si>
  <si>
    <t>Fréquence et les méthodes utilisées</t>
  </si>
  <si>
    <t>Le contrôle des frontières</t>
  </si>
  <si>
    <t>Dialogue avec les pays voisins ou d'autres pays a commencé , l'établissement d' un plan transfrontalier</t>
  </si>
  <si>
    <t>Mesures d'inspection frontaliers vétérinaires et de quarantaine sont entièrement mises en œuvre conformément à la réglementation nationale</t>
  </si>
  <si>
    <t>LES QUESTIONS RELATIVES Á LA GESTION DE LA POPULATION CANINE</t>
  </si>
  <si>
    <t xml:space="preserve">L'Approche Raisonnée de l'Élimination de la Rage </t>
  </si>
  <si>
    <t>RÉSUMÉ DES ACTIVITÉS DE PROGRAMME DE LA RAGE</t>
  </si>
  <si>
    <t>En attendant</t>
  </si>
  <si>
    <t>Accompli</t>
  </si>
  <si>
    <t xml:space="preserve">Activites de controle de la rage encore en cours ou terminees </t>
  </si>
  <si>
    <t>Annee la plus recente de sou;ission d'un echantillon a un laboratoire international de reference;
Nom du laboratoire</t>
  </si>
  <si>
    <t>Nom et localisation du laboratoire</t>
  </si>
  <si>
    <t>Nom de l'institution ou les tests moleculaires ont ete conduits</t>
  </si>
  <si>
    <t xml:space="preserve">Plus de 50 echantilllons d'autres especes domestiques ou sauvages  sensibles  sont traites par an </t>
  </si>
  <si>
    <t>Nombre d'echqntillons (a discuter)</t>
  </si>
  <si>
    <t xml:space="preserve">Plus de 200 echantilllons de chiens suspects de rage sont traites par an </t>
  </si>
  <si>
    <t xml:space="preserve">Campagnes de sensibilisation sur l'interet de la vaccination des chiens  menee  a large echelle et de maniere continue  </t>
  </si>
  <si>
    <t>Abandon des vaccins produits sur tissus animaux</t>
  </si>
  <si>
    <t>Ceci peut eventuellemet correspondre a l'etape 2</t>
  </si>
  <si>
    <r>
      <t xml:space="preserve">Nombre de centres antirabiques fonctionnels </t>
    </r>
    <r>
      <rPr>
        <i/>
        <sz val="11"/>
        <rFont val="Calibri"/>
        <family val="2"/>
        <scheme val="minor"/>
      </rPr>
      <t xml:space="preserve"> </t>
    </r>
    <r>
      <rPr>
        <i/>
        <sz val="11"/>
        <color rgb="FFFF0000"/>
        <rFont val="Calibri"/>
        <family val="2"/>
        <scheme val="minor"/>
      </rPr>
      <t>(Ceci peut eventuellemet correspondre a l'etape 2)</t>
    </r>
  </si>
  <si>
    <t>Plutot de maniere intersectorielle mais peut avoir ete developpe par certains secteurs separement?</t>
  </si>
  <si>
    <t>ACTIVITES ENCORE EN COURS</t>
  </si>
  <si>
    <t>ACTIVITES TERMINEES</t>
  </si>
  <si>
    <t>Nombre total d'activités = 12</t>
  </si>
  <si>
    <t>Nombre total d'activités = 9</t>
  </si>
  <si>
    <t>Nombre total d'activités = 10</t>
  </si>
  <si>
    <t>Nombre total d'activités = 18</t>
  </si>
  <si>
    <t>Nombre total d'activités = 25</t>
  </si>
  <si>
    <t>Nombre total d'activités = 3</t>
  </si>
  <si>
    <t>Nombre total d'activités = 15</t>
  </si>
  <si>
    <t>Nombre total d'activités = 5</t>
  </si>
  <si>
    <t>Nombre total d'activités = 30</t>
  </si>
  <si>
    <t>Nombre total d'activités = 22</t>
  </si>
  <si>
    <t>Nombre total d'activités = 11</t>
  </si>
  <si>
    <t>Nombre total d'activités = 6</t>
  </si>
  <si>
    <t>TEJIOKEM Mathurin</t>
  </si>
  <si>
    <t xml:space="preserve">Médecin Epidemiologiste/superviseur activités delutte contre la rage </t>
  </si>
  <si>
    <t>Centre Pasteur du Cameroun</t>
  </si>
  <si>
    <t>pas totalement mais l'information est contenu dans le document Surveillance intégrée des maladies et réponses (SIMR)</t>
  </si>
  <si>
    <t>SIMR</t>
  </si>
  <si>
    <t>loi N°006 du 14 avril 2001 portant nomenclature et règlement zoosanitaire des maladies du bétail réputées légalement contagieuses et à déclaration obligatoire</t>
  </si>
  <si>
    <t xml:space="preserve">Loi pour la rage animale et décision du Ministère de la Santé Publique pour la rage humaine </t>
  </si>
  <si>
    <t>Dans le cadre du Règlement Sanitaire International (RSI)</t>
  </si>
  <si>
    <t>initié mais pas complètement formalisé</t>
  </si>
  <si>
    <t>oui mais pas suivi par tous les intervenants. En effet, les morsures de chiens ont été greffées dans la fiche de notification hebdomadaire des maladies à potentiel épidémique</t>
  </si>
  <si>
    <t>Mais dans le cadre du diagnostic, le résultats positifs sont partagés à travers une mailing list</t>
  </si>
  <si>
    <t xml:space="preserve">données Pas regroupées mais on pourra les trouver </t>
  </si>
  <si>
    <t xml:space="preserve">30 d'échantillons en moyenne </t>
  </si>
  <si>
    <t>Institut Pasteur de Paris</t>
  </si>
  <si>
    <t>existence d'une mailing list</t>
  </si>
  <si>
    <t>pas à l'échelle du pays</t>
  </si>
  <si>
    <t>pas à l'échelle  du pays</t>
  </si>
  <si>
    <t xml:space="preserve">une campagne par an dans certaines zones </t>
  </si>
  <si>
    <t xml:space="preserve">parcellaires </t>
  </si>
  <si>
    <t xml:space="preserve">les immunoglobulines ne sont pas toujours disponibles. De la même façon, les ruptures de stocks sont assez souvent notés </t>
  </si>
  <si>
    <t>4 CAR</t>
  </si>
  <si>
    <t xml:space="preserve">dans deux grands centres </t>
  </si>
  <si>
    <t>pas partout. À la charge du patient</t>
  </si>
  <si>
    <t>pas de zones indemnes pour l'instant</t>
  </si>
  <si>
    <t xml:space="preserve">pas aussi régulières. Mais elles se font avec un décalage </t>
  </si>
  <si>
    <t>pas tous, processus en cours</t>
  </si>
  <si>
    <t xml:space="preserve">Santé, élévage, municipalité, éducation, partenaires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</si>
</sst>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_(* \(#,##0.00\);_(* &quot;-&quot;??_);_(@_)"/>
    <numFmt numFmtId="165" formatCode="[$-3409]dd\ mmmm\,\ yyyy;@"/>
  </numFmts>
  <fonts count="27"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i/>
      <sz val="9"/>
      <color theme="1"/>
      <name val="Calibri"/>
      <family val="2"/>
      <scheme val="minor"/>
    </font>
    <font>
      <u/>
      <sz val="11"/>
      <name val="Calibri"/>
      <family val="2"/>
      <scheme val="minor"/>
    </font>
    <font>
      <sz val="11"/>
      <color theme="1"/>
      <name val="Calibri"/>
      <family val="2"/>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
      <i/>
      <sz val="11"/>
      <color rgb="FFFF0000"/>
      <name val="Calibri"/>
      <family val="2"/>
      <scheme val="minor"/>
    </font>
    <font>
      <i/>
      <sz val="11"/>
      <name val="Calibri"/>
      <family val="2"/>
      <scheme val="minor"/>
    </font>
    <font>
      <u/>
      <sz val="11"/>
      <color theme="10"/>
      <name val="Calibri"/>
      <family val="2"/>
      <scheme val="minor"/>
    </font>
    <font>
      <u/>
      <sz val="11"/>
      <color theme="11"/>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auto="1"/>
      </left>
      <right style="thin">
        <color auto="1"/>
      </right>
      <top/>
      <bottom/>
      <diagonal/>
    </border>
    <border>
      <left style="thin">
        <color auto="1"/>
      </left>
      <right style="hair">
        <color auto="1"/>
      </right>
      <top/>
      <bottom/>
      <diagonal/>
    </border>
    <border>
      <left style="hair">
        <color auto="1"/>
      </left>
      <right style="thin">
        <color auto="1"/>
      </right>
      <top style="thin">
        <color auto="1"/>
      </top>
      <bottom/>
      <diagonal/>
    </border>
    <border>
      <left style="thin">
        <color auto="1"/>
      </left>
      <right style="hair">
        <color auto="1"/>
      </right>
      <top style="thin">
        <color auto="1"/>
      </top>
      <bottom/>
      <diagonal/>
    </border>
    <border>
      <left style="hair">
        <color auto="1"/>
      </left>
      <right style="thin">
        <color auto="1"/>
      </right>
      <top/>
      <bottom style="thin">
        <color auto="1"/>
      </bottom>
      <diagonal/>
    </border>
    <border>
      <left style="thin">
        <color auto="1"/>
      </left>
      <right style="hair">
        <color auto="1"/>
      </right>
      <top/>
      <bottom style="thin">
        <color auto="1"/>
      </bottom>
      <diagonal/>
    </border>
  </borders>
  <cellStyleXfs count="12">
    <xf numFmtId="0" fontId="0" fillId="0" borderId="0"/>
    <xf numFmtId="164" fontId="1" fillId="0" borderId="0" applyFon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cellStyleXfs>
  <cellXfs count="244">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6" fillId="0" borderId="0" xfId="0" applyFont="1"/>
    <xf numFmtId="0" fontId="6" fillId="0" borderId="0" xfId="0" applyFont="1" applyAlignment="1">
      <alignment wrapText="1"/>
    </xf>
    <xf numFmtId="0" fontId="5" fillId="0" borderId="0" xfId="0" applyFont="1"/>
    <xf numFmtId="0" fontId="0" fillId="0" borderId="0" xfId="0" applyAlignment="1">
      <alignment horizontal="left" vertical="top" wrapText="1"/>
    </xf>
    <xf numFmtId="0" fontId="0" fillId="0" borderId="0" xfId="0" applyBorder="1" applyAlignment="1">
      <alignment horizontal="left" vertical="top" wrapText="1"/>
    </xf>
    <xf numFmtId="0" fontId="3" fillId="0" borderId="0" xfId="0" applyFont="1"/>
    <xf numFmtId="0" fontId="5" fillId="0" borderId="0" xfId="0" applyFont="1" applyAlignment="1">
      <alignment wrapText="1"/>
    </xf>
    <xf numFmtId="0" fontId="5" fillId="0" borderId="0" xfId="0" applyFont="1" applyAlignment="1">
      <alignment horizontal="center" vertical="top"/>
    </xf>
    <xf numFmtId="0" fontId="10"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2" xfId="0" applyBorder="1" applyAlignment="1">
      <alignment horizontal="left" vertical="top"/>
    </xf>
    <xf numFmtId="0" fontId="0" fillId="0" borderId="3" xfId="0" applyBorder="1" applyAlignment="1">
      <alignment horizontal="left" vertical="top" wrapText="1"/>
    </xf>
    <xf numFmtId="0" fontId="0" fillId="0" borderId="5"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wrapText="1"/>
    </xf>
    <xf numFmtId="0" fontId="0" fillId="0" borderId="4" xfId="0" applyBorder="1" applyAlignment="1">
      <alignment horizontal="left" vertical="top" wrapText="1"/>
    </xf>
    <xf numFmtId="0" fontId="0" fillId="0" borderId="6" xfId="0" applyBorder="1" applyAlignment="1">
      <alignment horizontal="left" vertical="top" wrapText="1"/>
    </xf>
    <xf numFmtId="0" fontId="0" fillId="0" borderId="9" xfId="0" applyBorder="1" applyAlignment="1">
      <alignment horizontal="left" vertical="top" wrapText="1"/>
    </xf>
    <xf numFmtId="0" fontId="5" fillId="0" borderId="6" xfId="0" applyFont="1" applyFill="1" applyBorder="1" applyAlignment="1">
      <alignment horizontal="left" vertical="top" wrapText="1"/>
    </xf>
    <xf numFmtId="0" fontId="0" fillId="0" borderId="13" xfId="0" applyBorder="1" applyAlignment="1">
      <alignment horizontal="left" vertical="top"/>
    </xf>
    <xf numFmtId="0" fontId="0" fillId="0" borderId="14" xfId="0" applyBorder="1" applyAlignment="1">
      <alignment horizontal="left" vertical="top"/>
    </xf>
    <xf numFmtId="0" fontId="0" fillId="0" borderId="15" xfId="0" applyBorder="1" applyAlignment="1">
      <alignment horizontal="left" vertical="top"/>
    </xf>
    <xf numFmtId="0" fontId="0" fillId="0" borderId="2" xfId="0" applyBorder="1" applyAlignment="1">
      <alignment horizontal="center" vertical="top"/>
    </xf>
    <xf numFmtId="0" fontId="0" fillId="0" borderId="5" xfId="0" applyBorder="1" applyAlignment="1">
      <alignment horizontal="center" vertical="top"/>
    </xf>
    <xf numFmtId="0" fontId="0" fillId="0" borderId="7" xfId="0" applyBorder="1" applyAlignment="1">
      <alignment horizontal="center" vertical="top"/>
    </xf>
    <xf numFmtId="0" fontId="0" fillId="0" borderId="4" xfId="0" applyFont="1" applyBorder="1" applyAlignment="1">
      <alignment horizontal="left" vertical="top" wrapText="1"/>
    </xf>
    <xf numFmtId="0" fontId="0" fillId="0" borderId="6" xfId="0" applyFont="1" applyBorder="1" applyAlignment="1">
      <alignment horizontal="left" vertical="top" wrapText="1"/>
    </xf>
    <xf numFmtId="0" fontId="0" fillId="0" borderId="6" xfId="0" applyFont="1" applyFill="1" applyBorder="1" applyAlignment="1">
      <alignment horizontal="left" vertical="top" wrapText="1"/>
    </xf>
    <xf numFmtId="0" fontId="0" fillId="0" borderId="9" xfId="0" applyFont="1" applyBorder="1" applyAlignment="1">
      <alignment horizontal="left" vertical="top" wrapText="1"/>
    </xf>
    <xf numFmtId="0" fontId="0" fillId="0" borderId="0" xfId="0" applyBorder="1" applyAlignment="1">
      <alignment horizontal="center" vertical="center" wrapText="1"/>
    </xf>
    <xf numFmtId="0" fontId="5" fillId="0" borderId="14" xfId="0" applyFont="1"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5" fillId="0" borderId="6" xfId="0" applyFont="1" applyBorder="1" applyAlignment="1">
      <alignment horizontal="left" vertical="top" wrapText="1"/>
    </xf>
    <xf numFmtId="0" fontId="5" fillId="0" borderId="4" xfId="0" applyFont="1" applyBorder="1" applyAlignment="1">
      <alignment horizontal="left" vertical="top" wrapText="1"/>
    </xf>
    <xf numFmtId="0" fontId="5" fillId="0" borderId="9" xfId="0" applyFont="1" applyBorder="1" applyAlignment="1">
      <alignment horizontal="left" vertical="top" wrapText="1"/>
    </xf>
    <xf numFmtId="0" fontId="0" fillId="0" borderId="13" xfId="0" applyBorder="1" applyAlignment="1">
      <alignment horizontal="left" vertical="top" wrapText="1"/>
    </xf>
    <xf numFmtId="0" fontId="0" fillId="0" borderId="14" xfId="0" applyFill="1" applyBorder="1" applyAlignment="1">
      <alignment horizontal="left" vertical="top" wrapText="1"/>
    </xf>
    <xf numFmtId="164" fontId="0" fillId="0" borderId="14" xfId="1" applyFont="1" applyBorder="1" applyAlignment="1">
      <alignment horizontal="left" vertical="top"/>
    </xf>
    <xf numFmtId="0" fontId="5" fillId="0" borderId="15" xfId="0" applyFont="1" applyFill="1" applyBorder="1" applyAlignment="1">
      <alignment horizontal="left" vertical="top" wrapText="1"/>
    </xf>
    <xf numFmtId="0" fontId="0" fillId="0" borderId="15" xfId="0" applyFill="1" applyBorder="1" applyAlignment="1">
      <alignment horizontal="left" vertical="top" wrapText="1"/>
    </xf>
    <xf numFmtId="0" fontId="12" fillId="0" borderId="4" xfId="0" applyFont="1" applyBorder="1" applyAlignment="1">
      <alignment vertical="top" wrapText="1"/>
    </xf>
    <xf numFmtId="0" fontId="12" fillId="0" borderId="3" xfId="0" applyFont="1" applyBorder="1" applyAlignment="1">
      <alignment vertical="top" wrapText="1"/>
    </xf>
    <xf numFmtId="0" fontId="12" fillId="0" borderId="0" xfId="0" applyFont="1" applyAlignment="1">
      <alignment vertical="top" wrapText="1"/>
    </xf>
    <xf numFmtId="0" fontId="12" fillId="0" borderId="6" xfId="0" applyFont="1" applyBorder="1" applyAlignment="1">
      <alignment vertical="top" wrapText="1"/>
    </xf>
    <xf numFmtId="0" fontId="12" fillId="0" borderId="0" xfId="0" applyFont="1" applyBorder="1" applyAlignment="1">
      <alignment vertical="top" wrapText="1"/>
    </xf>
    <xf numFmtId="0" fontId="12" fillId="0" borderId="9" xfId="0" applyFont="1" applyBorder="1" applyAlignment="1">
      <alignment vertical="top" wrapText="1"/>
    </xf>
    <xf numFmtId="0" fontId="12" fillId="0" borderId="8" xfId="0" applyFont="1" applyBorder="1" applyAlignment="1">
      <alignment vertical="top" wrapText="1"/>
    </xf>
    <xf numFmtId="0" fontId="12" fillId="0" borderId="13" xfId="0" applyFont="1" applyBorder="1" applyAlignment="1">
      <alignment vertical="top" wrapText="1"/>
    </xf>
    <xf numFmtId="0" fontId="12" fillId="0" borderId="14" xfId="0" applyFont="1" applyBorder="1" applyAlignment="1">
      <alignment vertical="top" wrapText="1"/>
    </xf>
    <xf numFmtId="0" fontId="12" fillId="0" borderId="15" xfId="0" applyFont="1" applyBorder="1" applyAlignment="1">
      <alignment vertical="top" wrapText="1"/>
    </xf>
    <xf numFmtId="0" fontId="14" fillId="0" borderId="14" xfId="0" applyFont="1" applyBorder="1" applyAlignment="1">
      <alignment vertical="top" wrapText="1"/>
    </xf>
    <xf numFmtId="0" fontId="15" fillId="0" borderId="0" xfId="0" applyFont="1" applyAlignment="1">
      <alignment horizontal="center" vertical="center" wrapText="1"/>
    </xf>
    <xf numFmtId="0" fontId="14" fillId="0" borderId="3" xfId="0" applyFont="1" applyBorder="1" applyAlignment="1">
      <alignment vertical="top" wrapText="1"/>
    </xf>
    <xf numFmtId="0" fontId="14" fillId="0" borderId="0" xfId="0" applyFont="1" applyBorder="1" applyAlignment="1">
      <alignment vertical="top" wrapText="1"/>
    </xf>
    <xf numFmtId="0" fontId="14" fillId="0" borderId="8" xfId="0" applyFont="1" applyBorder="1" applyAlignment="1">
      <alignment vertical="top" wrapText="1"/>
    </xf>
    <xf numFmtId="0" fontId="14" fillId="0" borderId="13" xfId="0" applyFont="1" applyBorder="1" applyAlignment="1">
      <alignment vertical="top" wrapText="1"/>
    </xf>
    <xf numFmtId="0" fontId="14" fillId="0" borderId="15" xfId="0" applyFont="1" applyBorder="1" applyAlignment="1">
      <alignment vertical="top" wrapText="1"/>
    </xf>
    <xf numFmtId="0" fontId="5" fillId="0" borderId="5" xfId="0" applyFont="1" applyBorder="1" applyAlignment="1">
      <alignment horizontal="center" vertical="top"/>
    </xf>
    <xf numFmtId="0" fontId="5" fillId="0" borderId="5" xfId="0" applyFont="1" applyFill="1" applyBorder="1" applyAlignment="1">
      <alignment horizontal="center" vertical="top" wrapText="1"/>
    </xf>
    <xf numFmtId="0" fontId="5" fillId="0" borderId="5" xfId="0" applyFont="1" applyFill="1" applyBorder="1" applyAlignment="1">
      <alignment horizontal="center" vertical="top"/>
    </xf>
    <xf numFmtId="0" fontId="5" fillId="0" borderId="7" xfId="0" applyFont="1" applyBorder="1" applyAlignment="1">
      <alignment horizontal="center" vertical="top"/>
    </xf>
    <xf numFmtId="0" fontId="5" fillId="0" borderId="2" xfId="0" applyFont="1" applyFill="1" applyBorder="1" applyAlignment="1">
      <alignment horizontal="center" vertical="top" wrapText="1"/>
    </xf>
    <xf numFmtId="0" fontId="5" fillId="0" borderId="7" xfId="0" applyFont="1" applyFill="1" applyBorder="1" applyAlignment="1">
      <alignment horizontal="center" vertical="top" wrapText="1"/>
    </xf>
    <xf numFmtId="0" fontId="5" fillId="0" borderId="6" xfId="0" applyFont="1" applyBorder="1" applyAlignment="1">
      <alignment wrapText="1"/>
    </xf>
    <xf numFmtId="0" fontId="0" fillId="0" borderId="6" xfId="0" applyFill="1" applyBorder="1" applyAlignment="1">
      <alignment horizontal="left" vertical="top" wrapText="1"/>
    </xf>
    <xf numFmtId="0" fontId="0" fillId="0" borderId="0" xfId="0" applyAlignment="1">
      <alignment vertical="top" wrapText="1"/>
    </xf>
    <xf numFmtId="0" fontId="5" fillId="0" borderId="0" xfId="0" applyFont="1" applyAlignment="1">
      <alignment vertical="top" wrapText="1"/>
    </xf>
    <xf numFmtId="0" fontId="9" fillId="0" borderId="4" xfId="0" applyFont="1" applyBorder="1" applyAlignment="1">
      <alignment vertical="center" wrapText="1"/>
    </xf>
    <xf numFmtId="0" fontId="0" fillId="0" borderId="0" xfId="0" applyBorder="1"/>
    <xf numFmtId="0" fontId="0" fillId="0" borderId="8" xfId="0" applyBorder="1"/>
    <xf numFmtId="0" fontId="6" fillId="0" borderId="5" xfId="0" applyFont="1" applyBorder="1"/>
    <xf numFmtId="0" fontId="0" fillId="0" borderId="5" xfId="0" applyBorder="1"/>
    <xf numFmtId="0" fontId="0" fillId="0" borderId="7"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12" fillId="0" borderId="18" xfId="0" applyFont="1" applyBorder="1" applyAlignment="1">
      <alignment vertical="top" wrapText="1"/>
    </xf>
    <xf numFmtId="0" fontId="12" fillId="0" borderId="16" xfId="0" applyFont="1" applyBorder="1" applyAlignment="1">
      <alignment vertical="top" wrapText="1"/>
    </xf>
    <xf numFmtId="0" fontId="12" fillId="0" borderId="20" xfId="0" applyFont="1" applyBorder="1" applyAlignment="1">
      <alignment vertical="top" wrapText="1"/>
    </xf>
    <xf numFmtId="0" fontId="11"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15" xfId="0" applyFont="1" applyFill="1" applyBorder="1" applyAlignment="1">
      <alignment horizontal="center" vertical="center" wrapText="1"/>
    </xf>
    <xf numFmtId="0" fontId="0" fillId="0" borderId="0" xfId="0" applyBorder="1" applyAlignment="1">
      <alignment vertical="top"/>
    </xf>
    <xf numFmtId="0" fontId="0" fillId="0" borderId="3" xfId="0" applyBorder="1" applyAlignment="1">
      <alignment vertical="top"/>
    </xf>
    <xf numFmtId="0" fontId="0" fillId="0" borderId="8" xfId="0" applyBorder="1" applyAlignment="1">
      <alignment vertical="top"/>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8" fillId="3" borderId="10" xfId="0" applyFont="1" applyFill="1" applyBorder="1" applyAlignment="1">
      <alignment vertical="center"/>
    </xf>
    <xf numFmtId="0" fontId="20" fillId="0" borderId="0" xfId="0" applyFont="1" applyAlignment="1">
      <alignment vertical="top"/>
    </xf>
    <xf numFmtId="0" fontId="20"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0" fillId="4" borderId="14" xfId="0" applyFill="1" applyBorder="1" applyAlignment="1" applyProtection="1">
      <alignment horizontal="center" vertical="center"/>
      <protection locked="0"/>
    </xf>
    <xf numFmtId="0" fontId="0" fillId="4" borderId="6" xfId="0" applyFill="1" applyBorder="1" applyProtection="1">
      <protection locked="0"/>
    </xf>
    <xf numFmtId="0" fontId="0" fillId="4" borderId="13" xfId="0" applyFill="1" applyBorder="1" applyAlignment="1" applyProtection="1">
      <alignment horizontal="center" vertical="center"/>
      <protection locked="0"/>
    </xf>
    <xf numFmtId="0" fontId="0" fillId="4" borderId="4" xfId="0" applyFill="1" applyBorder="1" applyProtection="1">
      <protection locked="0"/>
    </xf>
    <xf numFmtId="0" fontId="0" fillId="4" borderId="15" xfId="0" applyFill="1" applyBorder="1" applyAlignment="1" applyProtection="1">
      <alignment horizontal="center" vertical="center"/>
      <protection locked="0"/>
    </xf>
    <xf numFmtId="0" fontId="0" fillId="4" borderId="9" xfId="0" applyFill="1" applyBorder="1" applyProtection="1">
      <protection locked="0"/>
    </xf>
    <xf numFmtId="0" fontId="5" fillId="4" borderId="14" xfId="0" applyFont="1" applyFill="1" applyBorder="1" applyAlignment="1" applyProtection="1">
      <alignment horizontal="center" vertical="center"/>
      <protection locked="0"/>
    </xf>
    <xf numFmtId="0" fontId="5" fillId="4" borderId="6" xfId="0" applyFont="1" applyFill="1" applyBorder="1" applyProtection="1">
      <protection locked="0"/>
    </xf>
    <xf numFmtId="0" fontId="5" fillId="4" borderId="13" xfId="0" applyFont="1" applyFill="1" applyBorder="1" applyAlignment="1" applyProtection="1">
      <alignment horizontal="center" vertical="center"/>
      <protection locked="0"/>
    </xf>
    <xf numFmtId="0" fontId="5" fillId="4" borderId="4" xfId="0" applyFont="1" applyFill="1" applyBorder="1" applyProtection="1">
      <protection locked="0"/>
    </xf>
    <xf numFmtId="0" fontId="5" fillId="4" borderId="15" xfId="0" applyFont="1" applyFill="1" applyBorder="1" applyAlignment="1" applyProtection="1">
      <alignment horizontal="center" vertical="center"/>
      <protection locked="0"/>
    </xf>
    <xf numFmtId="0" fontId="5" fillId="4" borderId="9" xfId="0" applyFont="1" applyFill="1" applyBorder="1" applyProtection="1">
      <protection locked="0"/>
    </xf>
    <xf numFmtId="0" fontId="0" fillId="4" borderId="13" xfId="0" applyFill="1" applyBorder="1" applyProtection="1">
      <protection locked="0"/>
    </xf>
    <xf numFmtId="0" fontId="0" fillId="4" borderId="15" xfId="0" applyFill="1" applyBorder="1" applyProtection="1">
      <protection locked="0"/>
    </xf>
    <xf numFmtId="0" fontId="0" fillId="4" borderId="14" xfId="0" applyFill="1" applyBorder="1" applyProtection="1">
      <protection locked="0"/>
    </xf>
    <xf numFmtId="0" fontId="0" fillId="4" borderId="14" xfId="0" applyFill="1" applyBorder="1" applyAlignment="1" applyProtection="1">
      <alignment horizontal="left" vertical="top"/>
      <protection locked="0"/>
    </xf>
    <xf numFmtId="0" fontId="0" fillId="4" borderId="13" xfId="0" applyFill="1" applyBorder="1" applyAlignment="1" applyProtection="1">
      <alignment horizontal="left" vertical="top"/>
      <protection locked="0"/>
    </xf>
    <xf numFmtId="0" fontId="0" fillId="4" borderId="15" xfId="0" applyFill="1" applyBorder="1" applyAlignment="1" applyProtection="1">
      <alignment horizontal="left" vertical="top"/>
      <protection locked="0"/>
    </xf>
    <xf numFmtId="0" fontId="0" fillId="4" borderId="4" xfId="0" applyFill="1" applyBorder="1" applyAlignment="1" applyProtection="1">
      <alignment horizontal="left" vertical="top"/>
      <protection locked="0"/>
    </xf>
    <xf numFmtId="0" fontId="0" fillId="4" borderId="6" xfId="0" applyFill="1" applyBorder="1" applyAlignment="1" applyProtection="1">
      <alignment horizontal="left" vertical="top"/>
      <protection locked="0"/>
    </xf>
    <xf numFmtId="0" fontId="0" fillId="4" borderId="9" xfId="0" applyFill="1" applyBorder="1" applyAlignment="1" applyProtection="1">
      <alignment horizontal="left" vertical="top"/>
      <protection locked="0"/>
    </xf>
    <xf numFmtId="0" fontId="3" fillId="3" borderId="1" xfId="0" applyFont="1" applyFill="1" applyBorder="1" applyAlignment="1">
      <alignment horizontal="center" vertical="center" wrapText="1"/>
    </xf>
    <xf numFmtId="0" fontId="12" fillId="6" borderId="2" xfId="0" applyFont="1" applyFill="1" applyBorder="1" applyAlignment="1">
      <alignment vertical="top" wrapText="1"/>
    </xf>
    <xf numFmtId="0" fontId="13" fillId="6" borderId="5" xfId="0" applyFont="1" applyFill="1" applyBorder="1" applyAlignment="1">
      <alignment vertical="top" wrapText="1"/>
    </xf>
    <xf numFmtId="0" fontId="12" fillId="6" borderId="5" xfId="0" applyFont="1" applyFill="1" applyBorder="1" applyAlignment="1">
      <alignment vertical="top" wrapText="1"/>
    </xf>
    <xf numFmtId="0" fontId="12" fillId="6" borderId="7" xfId="0" applyFont="1" applyFill="1" applyBorder="1" applyAlignment="1">
      <alignment vertical="top" wrapText="1"/>
    </xf>
    <xf numFmtId="0" fontId="12" fillId="6" borderId="0" xfId="0" applyFont="1" applyFill="1" applyBorder="1" applyAlignment="1">
      <alignment vertical="top" wrapText="1"/>
    </xf>
    <xf numFmtId="0" fontId="12" fillId="6" borderId="19" xfId="0" applyFont="1" applyFill="1" applyBorder="1" applyAlignment="1">
      <alignment vertical="top" wrapText="1"/>
    </xf>
    <xf numFmtId="0" fontId="12" fillId="6" borderId="17" xfId="0" applyFont="1" applyFill="1" applyBorder="1" applyAlignment="1">
      <alignment vertical="top" wrapText="1"/>
    </xf>
    <xf numFmtId="0" fontId="12" fillId="6" borderId="21" xfId="0" applyFont="1" applyFill="1" applyBorder="1" applyAlignment="1">
      <alignment vertical="top" wrapText="1"/>
    </xf>
    <xf numFmtId="0" fontId="3" fillId="0" borderId="0" xfId="0" applyFont="1" applyFill="1" applyAlignment="1">
      <alignment horizontal="center" vertical="center"/>
    </xf>
    <xf numFmtId="0" fontId="17" fillId="0" borderId="14" xfId="0" applyFont="1" applyBorder="1" applyAlignment="1">
      <alignment horizontal="center" vertical="top" wrapText="1"/>
    </xf>
    <xf numFmtId="0" fontId="16" fillId="0" borderId="14" xfId="0" applyFont="1" applyBorder="1" applyAlignment="1">
      <alignment horizontal="center" vertical="top" wrapText="1"/>
    </xf>
    <xf numFmtId="0" fontId="16" fillId="0" borderId="15" xfId="0" applyFont="1" applyBorder="1" applyAlignment="1">
      <alignment horizontal="center" vertical="top" wrapText="1"/>
    </xf>
    <xf numFmtId="0" fontId="11"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11"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21" fillId="0" borderId="13" xfId="0" applyFont="1" applyBorder="1" applyAlignment="1">
      <alignment horizontal="center" vertical="top" wrapText="1"/>
    </xf>
    <xf numFmtId="0" fontId="21" fillId="0" borderId="2" xfId="0" applyFont="1" applyBorder="1" applyAlignment="1">
      <alignment horizontal="center" vertical="top" wrapText="1"/>
    </xf>
    <xf numFmtId="0" fontId="0" fillId="0" borderId="0" xfId="0" applyFont="1" applyAlignment="1">
      <alignment horizontal="center"/>
    </xf>
    <xf numFmtId="0" fontId="0" fillId="0" borderId="14" xfId="0" applyFont="1" applyBorder="1" applyAlignment="1">
      <alignment horizontal="center" vertical="center"/>
    </xf>
    <xf numFmtId="0" fontId="0" fillId="0" borderId="15" xfId="0" applyFont="1" applyBorder="1" applyAlignment="1">
      <alignment horizontal="center" vertical="center"/>
    </xf>
    <xf numFmtId="0" fontId="22" fillId="0" borderId="0" xfId="0" applyFont="1" applyAlignment="1">
      <alignment horizontal="left" vertical="center" indent="2"/>
    </xf>
    <xf numFmtId="0" fontId="19" fillId="7" borderId="10" xfId="0" applyFont="1" applyFill="1" applyBorder="1" applyAlignment="1">
      <alignment horizontal="center" vertical="center" wrapText="1"/>
    </xf>
    <xf numFmtId="165" fontId="3" fillId="7" borderId="12" xfId="0" applyNumberFormat="1" applyFont="1" applyFill="1" applyBorder="1" applyAlignment="1">
      <alignment horizontal="center" vertical="center"/>
    </xf>
    <xf numFmtId="0" fontId="5" fillId="0" borderId="0" xfId="0" applyFont="1" applyBorder="1" applyAlignment="1">
      <alignment vertical="top"/>
    </xf>
    <xf numFmtId="0" fontId="5" fillId="0" borderId="3" xfId="0" applyFont="1" applyBorder="1" applyAlignment="1">
      <alignment vertical="top"/>
    </xf>
    <xf numFmtId="164" fontId="5" fillId="0" borderId="8" xfId="1" applyFont="1" applyBorder="1" applyAlignment="1">
      <alignment vertical="top"/>
    </xf>
    <xf numFmtId="0" fontId="5" fillId="0" borderId="8" xfId="0" applyFont="1" applyBorder="1" applyAlignment="1">
      <alignment vertical="top"/>
    </xf>
    <xf numFmtId="0" fontId="5" fillId="0" borderId="0" xfId="0" applyFont="1" applyBorder="1" applyAlignment="1">
      <alignment vertical="top" wrapText="1"/>
    </xf>
    <xf numFmtId="0" fontId="0" fillId="0" borderId="14" xfId="0" applyBorder="1" applyAlignment="1">
      <alignment horizontal="center" vertical="center"/>
    </xf>
    <xf numFmtId="0" fontId="0" fillId="0" borderId="15" xfId="0" applyBorder="1"/>
    <xf numFmtId="0" fontId="0" fillId="0" borderId="0" xfId="0" applyAlignment="1">
      <alignment horizontal="center"/>
    </xf>
    <xf numFmtId="0" fontId="0" fillId="0" borderId="13" xfId="0" applyBorder="1" applyAlignment="1">
      <alignment horizontal="left"/>
    </xf>
    <xf numFmtId="0" fontId="0" fillId="0" borderId="13" xfId="0" applyBorder="1" applyAlignment="1">
      <alignment horizontal="center"/>
    </xf>
    <xf numFmtId="0" fontId="7" fillId="0" borderId="14" xfId="0" applyFont="1" applyBorder="1" applyAlignment="1">
      <alignment horizontal="left" indent="2"/>
    </xf>
    <xf numFmtId="0" fontId="0" fillId="0" borderId="14" xfId="0" applyBorder="1" applyAlignment="1">
      <alignment horizontal="center"/>
    </xf>
    <xf numFmtId="0" fontId="0" fillId="0" borderId="14" xfId="0" applyBorder="1" applyAlignment="1">
      <alignment horizontal="left"/>
    </xf>
    <xf numFmtId="0" fontId="7" fillId="0" borderId="15" xfId="0" applyFont="1" applyBorder="1" applyAlignment="1">
      <alignment horizontal="left" indent="2"/>
    </xf>
    <xf numFmtId="0" fontId="0" fillId="0" borderId="15" xfId="0" applyBorder="1" applyAlignment="1">
      <alignment horizontal="center"/>
    </xf>
    <xf numFmtId="0" fontId="0" fillId="0" borderId="0" xfId="0" applyBorder="1" applyAlignment="1">
      <alignment horizontal="left" vertical="top"/>
    </xf>
    <xf numFmtId="0" fontId="0" fillId="0" borderId="0" xfId="0" applyBorder="1" applyAlignment="1">
      <alignment horizontal="center"/>
    </xf>
    <xf numFmtId="0" fontId="0" fillId="0" borderId="0" xfId="0" applyBorder="1" applyAlignment="1"/>
    <xf numFmtId="0" fontId="0" fillId="0" borderId="0" xfId="0" applyBorder="1" applyAlignment="1">
      <alignment horizontal="center" vertical="top"/>
    </xf>
    <xf numFmtId="0" fontId="5" fillId="0" borderId="0" xfId="0" applyFont="1" applyFill="1" applyBorder="1" applyAlignment="1">
      <alignment horizontal="left" vertical="top" wrapText="1"/>
    </xf>
    <xf numFmtId="0" fontId="0" fillId="0" borderId="0" xfId="0" applyFont="1" applyBorder="1" applyAlignment="1">
      <alignment vertical="top"/>
    </xf>
    <xf numFmtId="0" fontId="0" fillId="0" borderId="0" xfId="0" applyFont="1" applyBorder="1" applyAlignment="1">
      <alignment horizontal="left" vertical="top" wrapText="1"/>
    </xf>
    <xf numFmtId="0" fontId="0" fillId="0" borderId="0" xfId="0" applyFont="1" applyFill="1" applyBorder="1" applyAlignment="1">
      <alignment horizontal="left" vertical="top" wrapText="1"/>
    </xf>
    <xf numFmtId="0" fontId="6" fillId="0" borderId="0" xfId="0" applyFont="1" applyBorder="1" applyAlignment="1">
      <alignment vertical="top"/>
    </xf>
    <xf numFmtId="0" fontId="5" fillId="0" borderId="0" xfId="0" applyFont="1" applyBorder="1" applyAlignment="1">
      <alignment horizontal="left" vertical="top" wrapText="1"/>
    </xf>
    <xf numFmtId="0" fontId="6" fillId="0" borderId="0" xfId="0" applyFont="1" applyBorder="1" applyAlignment="1">
      <alignment vertical="top" wrapText="1"/>
    </xf>
    <xf numFmtId="0" fontId="0" fillId="0" borderId="0" xfId="0" applyFill="1" applyBorder="1" applyAlignment="1">
      <alignment horizontal="center" vertical="top" wrapText="1"/>
    </xf>
    <xf numFmtId="0" fontId="2" fillId="0" borderId="0" xfId="0" applyFont="1" applyFill="1" applyBorder="1" applyAlignment="1">
      <alignment horizontal="left" vertical="top" wrapText="1"/>
    </xf>
    <xf numFmtId="0" fontId="5" fillId="0" borderId="0" xfId="0" applyFont="1" applyBorder="1" applyAlignment="1">
      <alignment horizontal="center" vertical="top"/>
    </xf>
    <xf numFmtId="0" fontId="8" fillId="0" borderId="0" xfId="0" applyFont="1" applyBorder="1" applyAlignment="1">
      <alignment vertical="top"/>
    </xf>
    <xf numFmtId="0" fontId="5" fillId="0" borderId="0" xfId="0" applyFont="1" applyBorder="1" applyAlignment="1">
      <alignment wrapText="1"/>
    </xf>
    <xf numFmtId="0" fontId="5" fillId="0" borderId="0" xfId="0" applyFont="1" applyFill="1" applyBorder="1" applyAlignment="1">
      <alignment horizontal="center" vertical="top" wrapText="1"/>
    </xf>
    <xf numFmtId="0" fontId="9" fillId="0" borderId="0" xfId="0" applyFont="1" applyBorder="1" applyAlignment="1">
      <alignment vertical="center" wrapText="1"/>
    </xf>
    <xf numFmtId="0" fontId="0" fillId="0" borderId="0" xfId="0" applyFill="1" applyBorder="1" applyAlignment="1">
      <alignment horizontal="left" vertical="top" wrapText="1"/>
    </xf>
    <xf numFmtId="0" fontId="5" fillId="0" borderId="0" xfId="0" applyFont="1" applyFill="1" applyBorder="1" applyAlignment="1">
      <alignment horizontal="center" vertical="top"/>
    </xf>
    <xf numFmtId="0" fontId="6" fillId="0" borderId="0" xfId="0" applyFont="1" applyBorder="1"/>
    <xf numFmtId="0" fontId="0" fillId="0" borderId="0" xfId="0" applyAlignment="1">
      <alignment vertical="center"/>
    </xf>
    <xf numFmtId="0" fontId="3" fillId="2" borderId="13" xfId="0" applyFont="1" applyFill="1" applyBorder="1" applyAlignment="1">
      <alignment horizontal="center" vertical="center" wrapText="1"/>
    </xf>
    <xf numFmtId="0" fontId="2" fillId="0" borderId="14" xfId="0" applyFont="1" applyBorder="1" applyAlignment="1">
      <alignment horizontal="left" vertical="top"/>
    </xf>
    <xf numFmtId="0" fontId="2" fillId="0" borderId="15" xfId="0" applyFont="1" applyBorder="1" applyAlignment="1">
      <alignment horizontal="left" vertical="top"/>
    </xf>
    <xf numFmtId="0" fontId="2" fillId="0" borderId="0" xfId="0" applyFont="1" applyBorder="1" applyAlignment="1">
      <alignment vertical="top" wrapText="1"/>
    </xf>
    <xf numFmtId="0" fontId="0" fillId="0" borderId="0" xfId="0"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0" fillId="0" borderId="6" xfId="0" applyBorder="1"/>
    <xf numFmtId="0" fontId="0" fillId="0" borderId="5" xfId="0" applyFont="1" applyBorder="1" applyAlignment="1">
      <alignment wrapText="1"/>
    </xf>
    <xf numFmtId="0" fontId="0" fillId="0" borderId="13" xfId="0" applyFill="1" applyBorder="1" applyAlignment="1">
      <alignment horizontal="left" vertical="top"/>
    </xf>
    <xf numFmtId="0" fontId="0" fillId="0" borderId="14" xfId="0" applyFill="1" applyBorder="1" applyAlignment="1">
      <alignment horizontal="left" vertical="top"/>
    </xf>
    <xf numFmtId="0" fontId="4" fillId="0" borderId="14" xfId="0" applyFont="1" applyFill="1" applyBorder="1" applyAlignment="1">
      <alignment horizontal="left" vertical="top" wrapText="1"/>
    </xf>
    <xf numFmtId="0" fontId="5" fillId="0" borderId="9" xfId="0" applyFont="1" applyFill="1" applyBorder="1" applyAlignment="1">
      <alignment horizontal="left" vertical="top" wrapText="1"/>
    </xf>
    <xf numFmtId="0" fontId="0" fillId="0" borderId="0" xfId="0" applyFill="1"/>
    <xf numFmtId="0" fontId="4" fillId="0" borderId="15" xfId="0" applyFont="1" applyFill="1" applyBorder="1" applyAlignment="1">
      <alignment horizontal="left" vertical="top" wrapText="1"/>
    </xf>
    <xf numFmtId="0" fontId="0" fillId="0" borderId="14" xfId="0" applyFont="1" applyFill="1" applyBorder="1" applyAlignment="1">
      <alignment horizontal="left" vertical="top" wrapText="1"/>
    </xf>
    <xf numFmtId="0" fontId="5" fillId="0" borderId="6" xfId="0" applyFont="1" applyFill="1" applyBorder="1" applyAlignment="1">
      <alignment wrapText="1"/>
    </xf>
    <xf numFmtId="0" fontId="23" fillId="0" borderId="0" xfId="0" applyFont="1" applyBorder="1"/>
    <xf numFmtId="0" fontId="7" fillId="0" borderId="5" xfId="0" applyFont="1" applyBorder="1" applyAlignment="1">
      <alignment horizontal="left" wrapText="1" indent="2"/>
    </xf>
    <xf numFmtId="0" fontId="7" fillId="0" borderId="7" xfId="0" applyFont="1" applyBorder="1" applyAlignment="1">
      <alignment horizontal="left" wrapText="1" indent="2"/>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5"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13" xfId="0" applyFont="1" applyBorder="1" applyAlignment="1">
      <alignment horizontal="left" vertical="top" wrapText="1"/>
    </xf>
    <xf numFmtId="0" fontId="6" fillId="0" borderId="15" xfId="0" applyFont="1" applyBorder="1" applyAlignment="1">
      <alignment horizontal="left" vertical="top" wrapText="1"/>
    </xf>
    <xf numFmtId="0" fontId="6" fillId="0" borderId="14" xfId="0" applyFont="1" applyBorder="1" applyAlignment="1">
      <alignment horizontal="left" vertical="top" wrapText="1"/>
    </xf>
    <xf numFmtId="0" fontId="8" fillId="0" borderId="2" xfId="0" applyFont="1" applyBorder="1" applyAlignment="1">
      <alignment horizontal="left" vertical="top" wrapText="1"/>
    </xf>
    <xf numFmtId="0" fontId="8" fillId="0" borderId="5" xfId="0" applyFont="1" applyBorder="1" applyAlignment="1">
      <alignment horizontal="left" vertical="top" wrapText="1"/>
    </xf>
    <xf numFmtId="0" fontId="8" fillId="0" borderId="7" xfId="0" applyFont="1" applyBorder="1" applyAlignment="1">
      <alignment horizontal="left" vertical="top" wrapText="1"/>
    </xf>
    <xf numFmtId="0" fontId="3" fillId="7" borderId="2" xfId="0" applyFont="1" applyFill="1" applyBorder="1" applyAlignment="1">
      <alignment horizontal="center" vertical="center"/>
    </xf>
    <xf numFmtId="0" fontId="3" fillId="7" borderId="3" xfId="0" applyFont="1" applyFill="1" applyBorder="1" applyAlignment="1">
      <alignment horizontal="center" vertical="center"/>
    </xf>
    <xf numFmtId="0" fontId="3" fillId="7" borderId="4" xfId="0" applyFont="1" applyFill="1" applyBorder="1" applyAlignment="1">
      <alignment horizontal="center" vertical="center"/>
    </xf>
    <xf numFmtId="165" fontId="3" fillId="7" borderId="7" xfId="0" applyNumberFormat="1" applyFont="1" applyFill="1" applyBorder="1" applyAlignment="1">
      <alignment horizontal="center" vertical="center"/>
    </xf>
    <xf numFmtId="165" fontId="3" fillId="7" borderId="8" xfId="0" applyNumberFormat="1" applyFont="1" applyFill="1" applyBorder="1" applyAlignment="1">
      <alignment horizontal="center" vertical="center"/>
    </xf>
    <xf numFmtId="165" fontId="3" fillId="7" borderId="9" xfId="0" applyNumberFormat="1"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12">
    <cellStyle name="Lien hypertexte" xfId="2" builtinId="8" hidden="1"/>
    <cellStyle name="Lien hypertexte" xfId="4" builtinId="8" hidden="1"/>
    <cellStyle name="Lien hypertexte" xfId="6" builtinId="8" hidden="1"/>
    <cellStyle name="Lien hypertexte" xfId="8" builtinId="8" hidden="1"/>
    <cellStyle name="Lien hypertexte" xfId="10" builtinId="8" hidden="1"/>
    <cellStyle name="Lien hypertexte visité" xfId="3" builtinId="9" hidden="1"/>
    <cellStyle name="Lien hypertexte visité" xfId="5" builtinId="9" hidden="1"/>
    <cellStyle name="Lien hypertexte visité" xfId="7" builtinId="9" hidden="1"/>
    <cellStyle name="Lien hypertexte visité" xfId="9" builtinId="9" hidden="1"/>
    <cellStyle name="Lien hypertexte visité" xfId="11" builtinId="9" hidden="1"/>
    <cellStyle name="Millier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theme" Target="theme/theme1.xml"/><Relationship Id="rId15" Type="http://schemas.openxmlformats.org/officeDocument/2006/relationships/styles" Target="styles.xml"/><Relationship Id="rId16" Type="http://schemas.openxmlformats.org/officeDocument/2006/relationships/sharedStrings" Target="sharedStrings.xml"/><Relationship Id="rId17"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123825</xdr:colOff>
      <xdr:row>4</xdr:row>
      <xdr:rowOff>38100</xdr:rowOff>
    </xdr:from>
    <xdr:to>
      <xdr:col>8</xdr:col>
      <xdr:colOff>514350</xdr:colOff>
      <xdr:row>14</xdr:row>
      <xdr:rowOff>180975</xdr:rowOff>
    </xdr:to>
    <xdr:sp macro="" textlink="">
      <xdr:nvSpPr>
        <xdr:cNvPr id="3" name="TextBox 2"/>
        <xdr:cNvSpPr txBox="1"/>
      </xdr:nvSpPr>
      <xdr:spPr>
        <a:xfrm>
          <a:off x="733425" y="847725"/>
          <a:ext cx="4657725" cy="204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editAs="oneCell">
    <xdr:from>
      <xdr:col>11</xdr:col>
      <xdr:colOff>28575</xdr:colOff>
      <xdr:row>2</xdr:row>
      <xdr:rowOff>47625</xdr:rowOff>
    </xdr:from>
    <xdr:to>
      <xdr:col>19</xdr:col>
      <xdr:colOff>581025</xdr:colOff>
      <xdr:row>36</xdr:row>
      <xdr:rowOff>0</xdr:rowOff>
    </xdr:to>
    <xdr:pic>
      <xdr:nvPicPr>
        <xdr:cNvPr id="7" name="Picture 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32675" y="454025"/>
          <a:ext cx="5937250" cy="5997575"/>
        </a:xfrm>
        <a:prstGeom prst="rect">
          <a:avLst/>
        </a:prstGeom>
      </xdr:spPr>
    </xdr:pic>
    <xdr:clientData/>
  </xdr:twoCellAnchor>
  <xdr:twoCellAnchor>
    <xdr:from>
      <xdr:col>5</xdr:col>
      <xdr:colOff>200025</xdr:colOff>
      <xdr:row>0</xdr:row>
      <xdr:rowOff>66675</xdr:rowOff>
    </xdr:from>
    <xdr:to>
      <xdr:col>14</xdr:col>
      <xdr:colOff>495300</xdr:colOff>
      <xdr:row>3</xdr:row>
      <xdr:rowOff>66675</xdr:rowOff>
    </xdr:to>
    <xdr:sp macro="" textlink="">
      <xdr:nvSpPr>
        <xdr:cNvPr id="4" name="TextBox 3"/>
        <xdr:cNvSpPr txBox="1"/>
      </xdr:nvSpPr>
      <xdr:spPr>
        <a:xfrm>
          <a:off x="3248025" y="66675"/>
          <a:ext cx="5781675" cy="619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xdr:from>
      <xdr:col>1</xdr:col>
      <xdr:colOff>533400</xdr:colOff>
      <xdr:row>15</xdr:row>
      <xdr:rowOff>85725</xdr:rowOff>
    </xdr:from>
    <xdr:to>
      <xdr:col>7</xdr:col>
      <xdr:colOff>485775</xdr:colOff>
      <xdr:row>21</xdr:row>
      <xdr:rowOff>38100</xdr:rowOff>
    </xdr:to>
    <xdr:sp macro="" textlink="">
      <xdr:nvSpPr>
        <xdr:cNvPr id="6" name="TextBox 5"/>
        <xdr:cNvSpPr txBox="1"/>
      </xdr:nvSpPr>
      <xdr:spPr>
        <a:xfrm>
          <a:off x="1206500" y="2803525"/>
          <a:ext cx="3990975" cy="101917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ZA" sz="1000" b="0" i="0" u="none" strike="noStrike" kern="0" cap="none" spc="0" normalizeH="0" baseline="0" noProof="0">
              <a:ln>
                <a:noFill/>
              </a:ln>
              <a:solidFill>
                <a:prstClr val="black"/>
              </a:solidFill>
              <a:effectLst/>
              <a:uLnTx/>
              <a:uFillTx/>
              <a:latin typeface="+mn-lt"/>
              <a:ea typeface="+mn-ea"/>
              <a:cs typeface="+mn-cs"/>
            </a:rPr>
            <a:t>S'il vous plaît remplir </a:t>
          </a:r>
          <a:r>
            <a:rPr kumimoji="0" lang="en-ZA" sz="1000" b="1" i="0" u="none" strike="noStrike" kern="0" cap="none" spc="0" normalizeH="0" baseline="0" noProof="0">
              <a:ln>
                <a:noFill/>
              </a:ln>
              <a:solidFill>
                <a:prstClr val="black"/>
              </a:solidFill>
              <a:effectLst/>
              <a:uLnTx/>
              <a:uFillTx/>
              <a:latin typeface="+mn-lt"/>
              <a:ea typeface="+mn-ea"/>
              <a:cs typeface="+mn-cs"/>
            </a:rPr>
            <a:t>le profil feuilles </a:t>
          </a:r>
          <a:r>
            <a:rPr kumimoji="0" lang="en-ZA" sz="1000" b="0" i="0" u="none" strike="noStrike" kern="0" cap="none" spc="0" normalizeH="0" baseline="0" noProof="0">
              <a:ln>
                <a:noFill/>
              </a:ln>
              <a:solidFill>
                <a:prstClr val="black"/>
              </a:solidFill>
              <a:effectLst/>
              <a:uLnTx/>
              <a:uFillTx/>
              <a:latin typeface="+mn-lt"/>
              <a:ea typeface="+mn-ea"/>
              <a:cs typeface="+mn-cs"/>
            </a:rPr>
            <a:t>de Pays et des </a:t>
          </a:r>
          <a:r>
            <a:rPr kumimoji="0" lang="en-ZA" sz="1000" b="1" i="0" u="none" strike="noStrike" kern="0" cap="none" spc="0" normalizeH="0" baseline="0" noProof="0">
              <a:ln>
                <a:noFill/>
              </a:ln>
              <a:solidFill>
                <a:prstClr val="black"/>
              </a:solidFill>
              <a:effectLst/>
              <a:uLnTx/>
              <a:uFillTx/>
              <a:latin typeface="+mn-lt"/>
              <a:ea typeface="+mn-ea"/>
              <a:cs typeface="+mn-cs"/>
            </a:rPr>
            <a:t>questions transversales </a:t>
          </a:r>
          <a:r>
            <a:rPr kumimoji="0" lang="en-ZA" sz="1000" b="0"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ZA" sz="1000" b="0" i="0" u="none" strike="noStrike" kern="0" cap="none" spc="0" normalizeH="0" baseline="0" noProof="0">
              <a:ln>
                <a:noFill/>
              </a:ln>
              <a:solidFill>
                <a:prstClr val="black"/>
              </a:solidFill>
              <a:effectLst/>
              <a:uLnTx/>
              <a:uFillTx/>
              <a:latin typeface="+mn-lt"/>
              <a:ea typeface="+mn-ea"/>
              <a:cs typeface="+mn-cs"/>
            </a:rPr>
            <a:t>Un résumé des activités du programme de la rage accomplis et en attente de votre pays sera listé dans </a:t>
          </a:r>
          <a:r>
            <a:rPr kumimoji="0" lang="en-ZA" sz="1000" b="1" i="0" u="none" strike="noStrike" kern="0" cap="none" spc="0" normalizeH="0" baseline="0" noProof="0">
              <a:ln>
                <a:noFill/>
              </a:ln>
              <a:solidFill>
                <a:prstClr val="black"/>
              </a:solidFill>
              <a:effectLst/>
              <a:uLnTx/>
              <a:uFillTx/>
              <a:latin typeface="+mn-lt"/>
              <a:ea typeface="+mn-ea"/>
              <a:cs typeface="+mn-cs"/>
            </a:rPr>
            <a:t>les feuilles de sommaire</a:t>
          </a:r>
          <a:r>
            <a:rPr kumimoji="0" lang="en-ZA" sz="1000" b="0" i="0" u="none" strike="noStrike" kern="0" cap="none" spc="0" normalizeH="0" baseline="0" noProof="0">
              <a:ln>
                <a:noFill/>
              </a:ln>
              <a:solidFill>
                <a:prstClr val="black"/>
              </a:solidFill>
              <a:effectLst/>
              <a:uLnTx/>
              <a:uFillTx/>
              <a:latin typeface="+mn-lt"/>
              <a:ea typeface="+mn-ea"/>
              <a:cs typeface="+mn-cs"/>
            </a:rPr>
            <a:t>.</a:t>
          </a:r>
          <a:endParaRPr kumimoji="0" lang="en-PH" sz="1000" b="0" i="0" u="none" strike="noStrike" kern="0" cap="none" spc="0" normalizeH="0" baseline="0" noProof="0">
            <a:ln>
              <a:noFill/>
            </a:ln>
            <a:solidFill>
              <a:prstClr val="black"/>
            </a:solidFill>
            <a:effectLst/>
            <a:uLnTx/>
            <a:uFillTx/>
            <a:latin typeface="+mn-lt"/>
            <a:ea typeface="+mn-ea"/>
            <a:cs typeface="+mn-cs"/>
          </a:endParaRPr>
        </a:p>
        <a:p>
          <a:pPr algn="ctr"/>
          <a:endParaRPr lang="en-PH" sz="10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showGridLines="0" workbookViewId="0">
      <selection activeCell="E29" sqref="E29"/>
    </sheetView>
  </sheetViews>
  <sheetFormatPr baseColWidth="10" defaultColWidth="8.83203125" defaultRowHeight="14" x14ac:dyDescent="0"/>
  <sheetData>
    <row r="1" spans="1:1" ht="18">
      <c r="A1" s="104"/>
    </row>
    <row r="2" spans="1:1">
      <c r="A2" s="11"/>
    </row>
  </sheetData>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workbookViewId="0">
      <selection activeCell="E9" sqref="E9"/>
    </sheetView>
  </sheetViews>
  <sheetFormatPr baseColWidth="10" defaultColWidth="8.83203125" defaultRowHeight="14" x14ac:dyDescent="0"/>
  <cols>
    <col min="1" max="1" width="9.1640625" style="4" customWidth="1"/>
    <col min="2" max="2" width="14.83203125" customWidth="1"/>
    <col min="3" max="3" width="56" style="5" customWidth="1"/>
    <col min="4" max="4" width="50.33203125" customWidth="1"/>
    <col min="6" max="6" width="38.83203125" customWidth="1"/>
    <col min="7" max="7" width="71.6640625" style="199" customWidth="1"/>
  </cols>
  <sheetData>
    <row r="1" spans="1:7" ht="15">
      <c r="A1" s="14" t="s">
        <v>494</v>
      </c>
      <c r="D1" s="5"/>
    </row>
    <row r="2" spans="1:7">
      <c r="A2" s="2" t="s">
        <v>380</v>
      </c>
      <c r="D2" s="5"/>
    </row>
    <row r="4" spans="1:7" s="139" customFormat="1" ht="28">
      <c r="A4" s="99" t="s">
        <v>426</v>
      </c>
      <c r="B4" s="103" t="s">
        <v>97</v>
      </c>
      <c r="C4" s="100" t="s">
        <v>427</v>
      </c>
      <c r="D4" s="130" t="s">
        <v>428</v>
      </c>
      <c r="E4" s="101" t="s">
        <v>1</v>
      </c>
      <c r="F4" s="102" t="s">
        <v>429</v>
      </c>
      <c r="G4" s="201"/>
    </row>
    <row r="5" spans="1:7" ht="28">
      <c r="A5" s="31">
        <v>1</v>
      </c>
      <c r="B5" s="225" t="s">
        <v>495</v>
      </c>
      <c r="C5" s="23" t="s">
        <v>496</v>
      </c>
      <c r="D5" s="96"/>
      <c r="E5" s="109">
        <v>1</v>
      </c>
      <c r="F5" s="110"/>
    </row>
    <row r="6" spans="1:7">
      <c r="A6" s="31">
        <v>1</v>
      </c>
      <c r="B6" s="226"/>
      <c r="C6" s="203" t="s">
        <v>497</v>
      </c>
      <c r="D6" s="96"/>
      <c r="E6" s="109">
        <v>1</v>
      </c>
      <c r="F6" s="110"/>
    </row>
    <row r="7" spans="1:7" ht="28">
      <c r="A7" s="31">
        <v>1</v>
      </c>
      <c r="B7" s="226"/>
      <c r="C7" s="24" t="s">
        <v>498</v>
      </c>
      <c r="D7" s="96" t="s">
        <v>499</v>
      </c>
      <c r="E7" s="109">
        <v>1</v>
      </c>
      <c r="F7" s="110" t="s">
        <v>572</v>
      </c>
    </row>
    <row r="8" spans="1:7" ht="28">
      <c r="A8" s="31">
        <v>2</v>
      </c>
      <c r="B8" s="226"/>
      <c r="C8" s="24" t="s">
        <v>500</v>
      </c>
      <c r="D8" s="96"/>
      <c r="E8" s="109">
        <v>0</v>
      </c>
      <c r="F8" s="110"/>
    </row>
    <row r="9" spans="1:7">
      <c r="A9" s="31">
        <v>2</v>
      </c>
      <c r="B9" s="227"/>
      <c r="C9" s="43" t="s">
        <v>501</v>
      </c>
      <c r="D9" s="96"/>
      <c r="E9" s="109">
        <v>0</v>
      </c>
      <c r="F9" s="110"/>
    </row>
    <row r="10" spans="1:7" ht="42">
      <c r="A10" s="30">
        <v>1</v>
      </c>
      <c r="B10" s="225" t="s">
        <v>502</v>
      </c>
      <c r="C10" s="42" t="s">
        <v>503</v>
      </c>
      <c r="D10" s="97"/>
      <c r="E10" s="111">
        <v>0</v>
      </c>
      <c r="F10" s="112"/>
    </row>
    <row r="11" spans="1:7" ht="28">
      <c r="A11" s="31">
        <v>1</v>
      </c>
      <c r="B11" s="226"/>
      <c r="C11" s="41" t="s">
        <v>504</v>
      </c>
      <c r="D11" s="96"/>
      <c r="E11" s="109">
        <v>0</v>
      </c>
      <c r="F11" s="110"/>
    </row>
    <row r="12" spans="1:7" ht="42">
      <c r="A12" s="31">
        <v>2</v>
      </c>
      <c r="B12" s="226"/>
      <c r="C12" s="41" t="s">
        <v>505</v>
      </c>
      <c r="D12" s="198" t="s">
        <v>531</v>
      </c>
      <c r="E12" s="109">
        <v>0</v>
      </c>
      <c r="F12" s="110"/>
    </row>
    <row r="13" spans="1:7" ht="28">
      <c r="A13" s="31">
        <v>2</v>
      </c>
      <c r="B13" s="226"/>
      <c r="C13" s="41" t="s">
        <v>506</v>
      </c>
      <c r="D13" s="96"/>
      <c r="E13" s="109">
        <v>0</v>
      </c>
      <c r="F13" s="110"/>
    </row>
    <row r="14" spans="1:7" ht="28">
      <c r="A14" s="31">
        <v>3</v>
      </c>
      <c r="B14" s="226"/>
      <c r="C14" s="41" t="s">
        <v>507</v>
      </c>
      <c r="D14" s="96" t="s">
        <v>511</v>
      </c>
      <c r="E14" s="109">
        <v>0</v>
      </c>
      <c r="F14" s="110"/>
    </row>
    <row r="15" spans="1:7" ht="28">
      <c r="A15" s="31">
        <v>3</v>
      </c>
      <c r="B15" s="226"/>
      <c r="C15" s="41" t="s">
        <v>508</v>
      </c>
      <c r="D15" s="96" t="s">
        <v>511</v>
      </c>
      <c r="E15" s="109">
        <v>0</v>
      </c>
      <c r="F15" s="110"/>
    </row>
    <row r="16" spans="1:7" ht="28">
      <c r="A16" s="31">
        <v>3</v>
      </c>
      <c r="B16" s="226"/>
      <c r="C16" s="41" t="s">
        <v>509</v>
      </c>
      <c r="D16" s="96"/>
      <c r="E16" s="109">
        <v>0</v>
      </c>
      <c r="F16" s="110"/>
    </row>
    <row r="17" spans="1:6" ht="28">
      <c r="A17" s="32">
        <v>4</v>
      </c>
      <c r="B17" s="227"/>
      <c r="C17" s="43" t="s">
        <v>510</v>
      </c>
      <c r="D17" s="98"/>
      <c r="E17" s="113">
        <v>0</v>
      </c>
      <c r="F17" s="114"/>
    </row>
    <row r="18" spans="1:6" ht="28">
      <c r="A18" s="31">
        <v>4</v>
      </c>
      <c r="B18" s="226" t="s">
        <v>512</v>
      </c>
      <c r="C18" s="24" t="s">
        <v>513</v>
      </c>
      <c r="D18" s="96"/>
      <c r="E18" s="109">
        <v>1</v>
      </c>
      <c r="F18" s="110"/>
    </row>
    <row r="19" spans="1:6" ht="42">
      <c r="A19" s="32">
        <v>4</v>
      </c>
      <c r="B19" s="227"/>
      <c r="C19" s="25" t="s">
        <v>514</v>
      </c>
      <c r="D19" s="98"/>
      <c r="E19" s="113">
        <v>1</v>
      </c>
      <c r="F19" s="114"/>
    </row>
  </sheetData>
  <sheetProtection algorithmName="SHA-512" hashValue="zxRppmius27xdCca6KGXg+uvhh9bhxOpCAPEmuKmY13BeAVN4aJmPs7p6ZcqVvIkasjz7wkWmazLTyG6LdcyLw==" saltValue="Ot5NXs/01ZQfux4c7y+EFQ==" spinCount="100000" sheet="1" objects="1" scenarios="1"/>
  <mergeCells count="3">
    <mergeCell ref="B18:B19"/>
    <mergeCell ref="B10:B17"/>
    <mergeCell ref="B5:B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92D050"/>
  </sheetPr>
  <dimension ref="A1:H30"/>
  <sheetViews>
    <sheetView workbookViewId="0">
      <selection activeCell="A5" sqref="A5"/>
    </sheetView>
  </sheetViews>
  <sheetFormatPr baseColWidth="10" defaultColWidth="8.83203125" defaultRowHeight="14" x14ac:dyDescent="0"/>
  <cols>
    <col min="1" max="1" width="36.6640625" customWidth="1"/>
    <col min="2" max="3" width="15.83203125" customWidth="1"/>
    <col min="4" max="4" width="6.5" customWidth="1"/>
    <col min="5" max="5" width="29" customWidth="1"/>
    <col min="6" max="6" width="15.83203125" customWidth="1"/>
    <col min="7" max="7" width="15.83203125" style="165" customWidth="1"/>
    <col min="8" max="8" width="16.6640625" style="165" customWidth="1"/>
  </cols>
  <sheetData>
    <row r="1" spans="1:8" ht="18">
      <c r="A1" s="105" t="s">
        <v>516</v>
      </c>
      <c r="E1" s="234" t="str">
        <f>'SUMMARY (Stage)'!E1</f>
        <v>CAMEROON</v>
      </c>
      <c r="F1" s="235"/>
      <c r="G1" s="236"/>
    </row>
    <row r="2" spans="1:8">
      <c r="A2" s="16" t="s">
        <v>520</v>
      </c>
      <c r="E2" s="237">
        <f>'SUMMARY (Stage)'!F1</f>
        <v>42165</v>
      </c>
      <c r="F2" s="238"/>
      <c r="G2" s="239"/>
    </row>
    <row r="4" spans="1:8">
      <c r="A4" s="16"/>
    </row>
    <row r="5" spans="1:8">
      <c r="A5" s="16"/>
    </row>
    <row r="6" spans="1:8">
      <c r="A6" s="16"/>
    </row>
    <row r="7" spans="1:8">
      <c r="A7" s="16"/>
    </row>
    <row r="8" spans="1:8" ht="28">
      <c r="A8" s="99" t="s">
        <v>367</v>
      </c>
      <c r="B8" s="130" t="s">
        <v>532</v>
      </c>
      <c r="C8" s="130" t="s">
        <v>533</v>
      </c>
      <c r="E8" s="99" t="s">
        <v>426</v>
      </c>
      <c r="F8" s="130" t="s">
        <v>532</v>
      </c>
      <c r="G8" s="130" t="s">
        <v>533</v>
      </c>
      <c r="H8"/>
    </row>
    <row r="9" spans="1:8">
      <c r="A9" s="204" t="s">
        <v>379</v>
      </c>
      <c r="B9" s="163">
        <f>(COUNT(STATUS))-C9</f>
        <v>0</v>
      </c>
      <c r="C9" s="153">
        <f>SUM(Legislation!E:E)</f>
        <v>12</v>
      </c>
      <c r="E9" s="166">
        <v>0</v>
      </c>
      <c r="F9" s="167">
        <f>COUNTIF('SUMMARY (Stage)'!B6:B10,"?*")+COUNTIF('SUMMARY (Stage)'!E6:E10,"?*")+COUNTIF('SUMMARY (Stage)'!H6:H10,"?*")+COUNTIF('SUMMARY (Stage)'!K6:K10,"?*")+COUNTIF('SUMMARY (Stage)'!N6:N10,"?*")+COUNTIF('SUMMARY (Stage)'!Q6:Q10,"?*")+COUNTIF('SUMMARY (Stage)'!T6:T10,"?*")</f>
        <v>0</v>
      </c>
      <c r="G9" s="167">
        <f>COUNTIF('SUMMARY (Stage)'!C6:C10,"?*")+COUNTIF('SUMMARY (Stage)'!F6:F10,"?*")+COUNTIF('SUMMARY (Stage)'!I6:I10,"?*")+COUNTIF('SUMMARY (Stage)'!L6:L10,"?*")+COUNTIF('SUMMARY (Stage)'!O6:O10,"?*")+COUNTIF('SUMMARY (Stage)'!R6:R10,"?*")+COUNTIF('SUMMARY (Stage)'!U6:U10,"?*")</f>
        <v>5</v>
      </c>
      <c r="H9"/>
    </row>
    <row r="10" spans="1:8">
      <c r="A10" s="214" t="s">
        <v>534</v>
      </c>
      <c r="B10" s="163"/>
      <c r="C10" s="153"/>
      <c r="E10" s="168" t="s">
        <v>541</v>
      </c>
      <c r="F10" s="169"/>
      <c r="G10" s="169"/>
      <c r="H10"/>
    </row>
    <row r="11" spans="1:8">
      <c r="A11" s="204"/>
      <c r="B11" s="163"/>
      <c r="C11" s="153"/>
      <c r="E11" s="169"/>
      <c r="F11" s="169"/>
      <c r="G11" s="169"/>
      <c r="H11"/>
    </row>
    <row r="12" spans="1:8">
      <c r="A12" s="204" t="s">
        <v>400</v>
      </c>
      <c r="B12" s="163">
        <f>(COUNT(datastatus)-'SUMMARY (Score)'!C12)</f>
        <v>6</v>
      </c>
      <c r="C12" s="153">
        <f>SUM('Data coll &amp; ax'!E:E)</f>
        <v>3</v>
      </c>
      <c r="E12" s="170">
        <v>1</v>
      </c>
      <c r="F12" s="169">
        <f>COUNTIF('SUMMARY (Stage)'!B11:B19,"?*")+COUNTIF('SUMMARY (Stage)'!E11:E19,"?*")+COUNTIF('SUMMARY (Stage)'!H11:H19,"?*")+COUNTIF('SUMMARY (Stage)'!K11:K19,"?*")+COUNTIF('SUMMARY (Stage)'!N11:N19,"?*")+COUNTIF('SUMMARY (Stage)'!Q11:Q19,"?*")+COUNTIF('SUMMARY (Stage)'!T11:T19,"?*")</f>
        <v>7</v>
      </c>
      <c r="G12" s="169">
        <f>COUNTIF('SUMMARY (Stage)'!C11:C19,"?*")+COUNTIF('SUMMARY (Stage)'!F11:F19,"?*")+COUNTIF('SUMMARY (Stage)'!I11:I19,"?*")+COUNTIF('SUMMARY (Stage)'!L11:L19,"?*")+COUNTIF('SUMMARY (Stage)'!O11:O19,"?*")+COUNTIF('SUMMARY (Stage)'!R11:R19,"?*")+COUNTIF('SUMMARY (Stage)'!U11:U19,"?*")</f>
        <v>23</v>
      </c>
      <c r="H12"/>
    </row>
    <row r="13" spans="1:8">
      <c r="A13" s="214" t="s">
        <v>535</v>
      </c>
      <c r="B13" s="163"/>
      <c r="C13" s="153"/>
      <c r="E13" s="168" t="s">
        <v>542</v>
      </c>
      <c r="F13" s="169"/>
      <c r="G13" s="169"/>
      <c r="H13"/>
    </row>
    <row r="14" spans="1:8">
      <c r="A14" s="204"/>
      <c r="B14" s="163"/>
      <c r="C14" s="153"/>
      <c r="E14" s="169"/>
      <c r="F14" s="169"/>
      <c r="G14" s="169"/>
      <c r="H14"/>
    </row>
    <row r="15" spans="1:8">
      <c r="A15" s="204" t="s">
        <v>413</v>
      </c>
      <c r="B15" s="163">
        <f>COUNT(labstatus)-'SUMMARY (Score)'!C15</f>
        <v>4</v>
      </c>
      <c r="C15" s="153">
        <f>SUM('Diagnostique lab'!E:E)</f>
        <v>6</v>
      </c>
      <c r="E15" s="170">
        <v>2</v>
      </c>
      <c r="F15" s="169">
        <f>COUNTIF('SUMMARY (Stage)'!B20:B28,"?*")+COUNTIF('SUMMARY (Stage)'!E20:E28,"?*")+COUNTIF('SUMMARY (Stage)'!H20:H28,"?*")+COUNTIF('SUMMARY (Stage)'!K20:K28,"?*")+COUNTIF('SUMMARY (Stage)'!N20:N28,"?*")+COUNTIF('SUMMARY (Stage)'!Q20:Q28,"?*")+COUNTIF('SUMMARY (Stage)'!T20:T28,"?*")</f>
        <v>12</v>
      </c>
      <c r="G15" s="169">
        <f>COUNTIF('SUMMARY (Stage)'!C20:C28,"?*")+COUNTIF('SUMMARY (Stage)'!F20:F28,"?*")+COUNTIF('SUMMARY (Stage)'!I20:I28,"?*")+COUNTIF('SUMMARY (Stage)'!L20:L28,"?*")+COUNTIF('SUMMARY (Stage)'!O20:O28,"?*")+COUNTIF('SUMMARY (Stage)'!R20:R28,"?*")+COUNTIF('SUMMARY (Stage)'!U20:U28,"?*")</f>
        <v>12</v>
      </c>
      <c r="H15"/>
    </row>
    <row r="16" spans="1:8">
      <c r="A16" s="214" t="s">
        <v>536</v>
      </c>
      <c r="B16" s="163"/>
      <c r="C16" s="153"/>
      <c r="E16" s="168" t="s">
        <v>543</v>
      </c>
      <c r="F16" s="169"/>
      <c r="G16" s="169"/>
      <c r="H16"/>
    </row>
    <row r="17" spans="1:8">
      <c r="A17" s="204"/>
      <c r="B17" s="163"/>
      <c r="C17" s="153"/>
      <c r="E17" s="169"/>
      <c r="F17" s="169"/>
      <c r="G17" s="169"/>
      <c r="H17"/>
    </row>
    <row r="18" spans="1:8" ht="28">
      <c r="A18" s="204" t="s">
        <v>430</v>
      </c>
      <c r="B18" s="163">
        <f>COUNT(iecstatus)-'SUMMARY (Score)'!C18</f>
        <v>9</v>
      </c>
      <c r="C18" s="153">
        <f>SUM(IEC!E:E)</f>
        <v>9</v>
      </c>
      <c r="E18" s="170">
        <v>3</v>
      </c>
      <c r="F18" s="169">
        <f>COUNTIF('SUMMARY (Stage)'!B29:B37,"?*")+COUNTIF('SUMMARY (Stage)'!E29:E37,"?*")+COUNTIF('SUMMARY (Stage)'!H29:H37,"?*")+COUNTIF('SUMMARY (Stage)'!K29:K37,"?*")+COUNTIF('SUMMARY (Stage)'!N29:N37,"?*")+COUNTIF('SUMMARY (Stage)'!Q29:Q37,"?*")+COUNTIF('SUMMARY (Stage)'!T29:T37,"?*")</f>
        <v>16</v>
      </c>
      <c r="G18" s="169">
        <f>COUNTIF('SUMMARY (Stage)'!C29:C37,"?*")+COUNTIF('SUMMARY (Stage)'!F29:F37,"?*")+COUNTIF('SUMMARY (Stage)'!I29:I37,"?*")+COUNTIF('SUMMARY (Stage)'!L29:L37,"?*")+COUNTIF('SUMMARY (Stage)'!O29:O37,"?*")+COUNTIF('SUMMARY (Stage)'!R29:R37,"?*")+COUNTIF('SUMMARY (Stage)'!U29:U37,"?*")</f>
        <v>3</v>
      </c>
      <c r="H18"/>
    </row>
    <row r="19" spans="1:8">
      <c r="A19" s="214" t="s">
        <v>537</v>
      </c>
      <c r="B19" s="163"/>
      <c r="C19" s="153"/>
      <c r="E19" s="168" t="s">
        <v>537</v>
      </c>
      <c r="F19" s="169"/>
      <c r="G19" s="169"/>
      <c r="H19"/>
    </row>
    <row r="20" spans="1:8">
      <c r="A20" s="204"/>
      <c r="B20" s="163"/>
      <c r="C20" s="153"/>
      <c r="E20" s="169"/>
      <c r="F20" s="169"/>
      <c r="G20" s="169"/>
      <c r="H20"/>
    </row>
    <row r="21" spans="1:8">
      <c r="A21" s="204" t="s">
        <v>457</v>
      </c>
      <c r="B21" s="163">
        <f>COUNT(prevstatus)-'SUMMARY (Score)'!C21</f>
        <v>14</v>
      </c>
      <c r="C21" s="153">
        <f>SUM('Prev &amp; Ctrl'!E:E)</f>
        <v>11</v>
      </c>
      <c r="E21" s="170">
        <v>4</v>
      </c>
      <c r="F21" s="169">
        <f>COUNTIF('SUMMARY (Stage)'!B38:B46,"?*")+COUNTIF('SUMMARY (Stage)'!E38:E46,"?*")+COUNTIF('SUMMARY (Stage)'!H38:H46,"?*")+COUNTIF('SUMMARY (Stage)'!K38:K46,"?*")+COUNTIF('SUMMARY (Stage)'!N38:N46,"?*")+COUNTIF('SUMMARY (Stage)'!Q38:Q46,"?*")+COUNTIF('SUMMARY (Stage)'!T38:T46,"?*")</f>
        <v>6</v>
      </c>
      <c r="G21" s="169">
        <f>COUNTIF('SUMMARY (Stage)'!C38:C46,"?*")+COUNTIF('SUMMARY (Stage)'!F38:F46,"?*")+COUNTIF('SUMMARY (Stage)'!I38:I46,"?*")+COUNTIF('SUMMARY (Stage)'!L38:L46,"?*")+COUNTIF('SUMMARY (Stage)'!O38:O46,"?*")+COUNTIF('SUMMARY (Stage)'!R38:R46,"?*")+COUNTIF('SUMMARY (Stage)'!U38:U46,"?*")</f>
        <v>3</v>
      </c>
      <c r="H21"/>
    </row>
    <row r="22" spans="1:8">
      <c r="A22" s="214" t="s">
        <v>538</v>
      </c>
      <c r="B22" s="163"/>
      <c r="C22" s="153"/>
      <c r="E22" s="168" t="s">
        <v>544</v>
      </c>
      <c r="F22" s="169"/>
      <c r="G22" s="169"/>
      <c r="H22"/>
    </row>
    <row r="23" spans="1:8">
      <c r="A23" s="204"/>
      <c r="B23" s="153"/>
      <c r="C23" s="153"/>
      <c r="E23" s="169"/>
      <c r="F23" s="169"/>
      <c r="G23" s="169"/>
      <c r="H23"/>
    </row>
    <row r="24" spans="1:8" ht="28">
      <c r="A24" s="204" t="s">
        <v>515</v>
      </c>
      <c r="B24" s="163">
        <f>(COUNT(dogstatus)-'SUMMARY (Score)'!C24)</f>
        <v>3</v>
      </c>
      <c r="C24" s="153">
        <f>SUM('Dog popn'!E:E)</f>
        <v>0</v>
      </c>
      <c r="E24" s="170">
        <v>5</v>
      </c>
      <c r="F24" s="169">
        <f>COUNTIF('SUMMARY (Stage)'!B47:B55,"?*")+COUNTIF('SUMMARY (Stage)'!E47:E55,"?*")+COUNTIF('SUMMARY (Stage)'!H47:H55,"?*")+COUNTIF('SUMMARY (Stage)'!K47:K55,"?*")+COUNTIF('SUMMARY (Stage)'!N47:N55,"?*")+COUNTIF('SUMMARY (Stage)'!Q47:Q55,"?*")+COUNTIF('SUMMARY (Stage)'!T47:T55,"?*")</f>
        <v>5</v>
      </c>
      <c r="G24" s="169">
        <f>COUNTIF('SUMMARY (Stage)'!C41:C49,"?*")+COUNTIF('SUMMARY (Stage)'!F41:F49,"?*")+COUNTIF('SUMMARY (Stage)'!I41:I49,"?*")+COUNTIF('SUMMARY (Stage)'!L41:L49,"?*")+COUNTIF('SUMMARY (Stage)'!O41:O49,"?*")+COUNTIF('SUMMARY (Stage)'!R41:R49,"?*")+COUNTIF('SUMMARY (Stage)'!U41:U49,"?*")</f>
        <v>0</v>
      </c>
      <c r="H24"/>
    </row>
    <row r="25" spans="1:8">
      <c r="A25" s="214" t="s">
        <v>539</v>
      </c>
      <c r="B25" s="163"/>
      <c r="C25" s="153"/>
      <c r="E25" s="171" t="s">
        <v>545</v>
      </c>
      <c r="F25" s="172"/>
      <c r="G25" s="172"/>
      <c r="H25"/>
    </row>
    <row r="26" spans="1:8">
      <c r="A26" s="204"/>
      <c r="B26" s="163"/>
      <c r="C26" s="153"/>
      <c r="F26" s="165"/>
      <c r="H26"/>
    </row>
    <row r="27" spans="1:8">
      <c r="A27" s="204" t="s">
        <v>494</v>
      </c>
      <c r="B27" s="163">
        <f>COUNT(crossstatus)-'SUMMARY (Score)'!C27</f>
        <v>10</v>
      </c>
      <c r="C27" s="153">
        <f>SUM('Questions transversales'!E:E)</f>
        <v>5</v>
      </c>
      <c r="F27" s="165"/>
      <c r="H27"/>
    </row>
    <row r="28" spans="1:8">
      <c r="A28" s="215" t="s">
        <v>540</v>
      </c>
      <c r="B28" s="164"/>
      <c r="C28" s="154"/>
      <c r="F28" s="165"/>
      <c r="H28"/>
    </row>
    <row r="29" spans="1:8">
      <c r="B29" s="152"/>
      <c r="F29" s="165"/>
      <c r="H29"/>
    </row>
    <row r="30" spans="1:8">
      <c r="F30" s="165"/>
      <c r="H30"/>
    </row>
  </sheetData>
  <sheetProtection algorithmName="SHA-512" hashValue="jwrICiAjtgin9Pt7AfAXA/pv+XDhHyAHVMR+0lYyLjRGwjTfifbipxoESavJTehFR7XJJhpjZBoQfUNcj98AsQ==" saltValue="VgoH0E2gDo//vSINb4kNYQ==" spinCount="100000" sheet="1" objects="1" scenarios="1"/>
  <mergeCells count="2">
    <mergeCell ref="E1:G1"/>
    <mergeCell ref="E2:G2"/>
  </mergeCells>
  <pageMargins left="0.41" right="0.2" top="0.5" bottom="0.5" header="0.3" footer="0.3"/>
  <pageSetup paperSize="9" orientation="landscape"/>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92D050"/>
  </sheetPr>
  <dimension ref="A1:U55"/>
  <sheetViews>
    <sheetView workbookViewId="0">
      <pane xSplit="1" ySplit="5" topLeftCell="C27" activePane="bottomRight" state="frozen"/>
      <selection pane="topRight" activeCell="B1" sqref="B1"/>
      <selection pane="bottomLeft" activeCell="A5" sqref="A5"/>
      <selection pane="bottomRight" activeCell="C12" sqref="C12"/>
    </sheetView>
  </sheetViews>
  <sheetFormatPr baseColWidth="10" defaultColWidth="8.83203125" defaultRowHeight="14" x14ac:dyDescent="0"/>
  <cols>
    <col min="1" max="1" width="8.83203125" style="149"/>
    <col min="2" max="3" width="30.5" style="15" customWidth="1"/>
    <col min="4" max="4" width="24.33203125" style="60" hidden="1" customWidth="1"/>
    <col min="5" max="6" width="30.5" style="15" customWidth="1"/>
    <col min="7" max="7" width="24.33203125" style="15" hidden="1" customWidth="1"/>
    <col min="8" max="9" width="30.5" style="15" customWidth="1"/>
    <col min="10" max="10" width="24.33203125" style="15" hidden="1" customWidth="1"/>
    <col min="11" max="12" width="30.5" style="15" customWidth="1"/>
    <col min="13" max="13" width="24.33203125" style="15" hidden="1" customWidth="1"/>
    <col min="14" max="15" width="30.5" style="15" customWidth="1"/>
    <col min="16" max="16" width="24.33203125" style="15" hidden="1" customWidth="1"/>
    <col min="17" max="18" width="30.5" style="15" customWidth="1"/>
    <col min="19" max="19" width="24.33203125" style="15" hidden="1" customWidth="1"/>
    <col min="20" max="21" width="30.5" style="15" customWidth="1"/>
    <col min="22" max="16384" width="8.83203125" style="15"/>
  </cols>
  <sheetData>
    <row r="1" spans="1:21" ht="18">
      <c r="A1" s="105" t="s">
        <v>516</v>
      </c>
      <c r="E1" s="156" t="str">
        <f>IF(ISBLANK('Country profile'!E4:I4),"",UPPER('Country profile'!E4:I4))</f>
        <v>CAMEROON</v>
      </c>
      <c r="F1" s="157">
        <f>IF(ISBLANK('Country profile'!F14:I14),"",'Country profile'!F14:I14)</f>
        <v>42165</v>
      </c>
    </row>
    <row r="2" spans="1:21">
      <c r="A2" s="16" t="s">
        <v>517</v>
      </c>
    </row>
    <row r="4" spans="1:21">
      <c r="A4" s="240" t="s">
        <v>426</v>
      </c>
      <c r="B4" s="242" t="s">
        <v>379</v>
      </c>
      <c r="C4" s="243"/>
      <c r="D4" s="88"/>
      <c r="E4" s="242" t="s">
        <v>400</v>
      </c>
      <c r="F4" s="243"/>
      <c r="G4" s="89"/>
      <c r="H4" s="242" t="s">
        <v>413</v>
      </c>
      <c r="I4" s="243"/>
      <c r="J4" s="89"/>
      <c r="K4" s="242" t="s">
        <v>430</v>
      </c>
      <c r="L4" s="243"/>
      <c r="M4" s="195"/>
      <c r="N4" s="242" t="s">
        <v>457</v>
      </c>
      <c r="O4" s="243"/>
      <c r="P4" s="89"/>
      <c r="Q4" s="242" t="s">
        <v>490</v>
      </c>
      <c r="R4" s="243"/>
      <c r="S4" s="89"/>
      <c r="T4" s="242" t="s">
        <v>494</v>
      </c>
      <c r="U4" s="243"/>
    </row>
    <row r="5" spans="1:21" s="37" customFormat="1">
      <c r="A5" s="241"/>
      <c r="B5" s="90" t="s">
        <v>518</v>
      </c>
      <c r="C5" s="91" t="s">
        <v>519</v>
      </c>
      <c r="D5" s="92"/>
      <c r="E5" s="90" t="s">
        <v>518</v>
      </c>
      <c r="F5" s="91" t="s">
        <v>519</v>
      </c>
      <c r="G5" s="93"/>
      <c r="H5" s="90" t="s">
        <v>518</v>
      </c>
      <c r="I5" s="94" t="s">
        <v>519</v>
      </c>
      <c r="J5" s="93"/>
      <c r="K5" s="90" t="s">
        <v>518</v>
      </c>
      <c r="L5" s="91" t="s">
        <v>519</v>
      </c>
      <c r="M5" s="95"/>
      <c r="N5" s="90" t="s">
        <v>518</v>
      </c>
      <c r="O5" s="94" t="s">
        <v>519</v>
      </c>
      <c r="P5" s="93"/>
      <c r="Q5" s="90" t="s">
        <v>518</v>
      </c>
      <c r="R5" s="91" t="s">
        <v>519</v>
      </c>
      <c r="S5" s="93"/>
      <c r="T5" s="90" t="s">
        <v>518</v>
      </c>
      <c r="U5" s="94" t="s">
        <v>519</v>
      </c>
    </row>
    <row r="6" spans="1:21" s="51" customFormat="1" ht="56">
      <c r="A6" s="150">
        <v>0</v>
      </c>
      <c r="B6" s="131" t="str">
        <f t="array" ref="B6">IF(ROWS(B$6:B6)&lt;=$A$7,INDEX(Legislation!$C$5:$C$16,SMALL(IF(STAGE=0,IF(STATUS=0,ROW(STATUS)-ROW(Legislation!$E$5)+1)),ROWS(B$6:B6))),"")</f>
        <v/>
      </c>
      <c r="C6" s="85" t="str">
        <f t="array" ref="C6">IF(ROWS(C$6:C6)&lt;=$A$8,INDEX(Legislation!$C$5:$C$16,SMALL(IF(STAGE=0,IF(STATUS=1,ROW(STATUS)-ROW(Legislation!$E$5)+1)),ROWS(C$6:C6))),"")</f>
        <v>Une définition nationale d’un cas de rage animale est disponible</v>
      </c>
      <c r="D6" s="61"/>
      <c r="E6" s="131" t="str">
        <f>IF(ROWS(E$6:E6)&lt;=$D$7,INDEX('Data coll &amp; ax'!$C$5:$C$13,SMALL(IF(datastage=0,IF(datastatus=0,ROW(datastatus)-ROW('Data coll &amp; ax'!$E$5)+1)),ROWS(E$6:E6))),"")</f>
        <v/>
      </c>
      <c r="F6" s="85" t="str">
        <f>IF(ROWS(F$6:F6)&lt;=$D$8,INDEX('Data coll &amp; ax'!$C$5:$C$13,SMALL(IF(datastage=0,IF(datastatus=1,ROW(datastatus)-ROW('Data coll &amp; ax'!$E$5)+1)),ROWS(F$6:F6))),"")</f>
        <v/>
      </c>
      <c r="G6" s="50"/>
      <c r="H6" s="136" t="str">
        <f t="array" ref="H6">IF(ROWS(H$6:H6)&lt;=$G$7,INDEX('Diagnostique lab'!$C$5:$C$14,SMALL(IF(labstage=0,IF(labstatus=0,ROW(labstatus)-ROW('Diagnostique lab'!$E$5)+1)),ROWS(H$6:H6))),"")</f>
        <v/>
      </c>
      <c r="I6" s="49" t="str">
        <f t="array" ref="I6">IF(ROWS(I$6:I6)&lt;=$G$8,INDEX('Diagnostique lab'!$C$5:$C$14,SMALL(IF(labstage=0,IF(labstatus=1,ROW(labstatus)-ROW('Diagnostique lab'!$F$5)+1)),ROWS(I$6:I6))),"")</f>
        <v>Contacts à un laboratoire de référence de la rage internationale ou un centre collaborateur / référence internationale sont établis</v>
      </c>
      <c r="J6" s="50"/>
      <c r="K6" s="131" t="str">
        <f t="array" ref="K6">IF(ROWS(K$6:K6)&lt;=$J$7,INDEX(IEC!$C$5:$C$22,SMALL(IF(iecstage=0,IF(iecstatus=0,ROW(iecstatus)-ROW(IEC!$E$5)+1)),ROWS(K$6:K6))),"")</f>
        <v/>
      </c>
      <c r="L6" s="85" t="str">
        <f t="array" ref="L6">IF(ROWS(L$6:L6)&lt;=$J$8,INDEX(IEC!$C$5:$C$22,SMALL(IF(iecstage=0,IF(iecstatus=1,ROW(iecstatus)-ROW(IEC!$E$5)+1)),ROWS(L$6:L6))),"")</f>
        <v>Les résultats des échantillons de rage sont partagés de façon appropriée avec les autorités locales et nationales</v>
      </c>
      <c r="M6" s="56"/>
      <c r="N6" s="136" t="str">
        <f t="array" ref="N6">IF(ROWS(N$6:N6)&lt;=$M$7,INDEX('Prev &amp; Ctrl'!$C$5:$C$29,SMALL(IF(prevstage=0,IF(prevstatus=0,ROW(prevstatus)-ROW('Prev &amp; Ctrl'!$E$5)+1)),ROWS(N$6:N6))),"")</f>
        <v/>
      </c>
      <c r="O6" s="49" t="str">
        <f t="array" ref="O6">IF(ROWS(O$6:O6)&lt;=$M$8,INDEX('Prev &amp; Ctrl'!$C$5:$C$29,SMALL(IF(prevstage=0,IF(prevstatus=1,ROW(prevstatus)-ROW('Prev &amp; Ctrl'!$E$5)+1)),ROWS(O$6:O6))),"")</f>
        <v/>
      </c>
      <c r="P6" s="50"/>
      <c r="Q6" s="131" t="str">
        <f t="array" ref="Q6">IF(ROWS(Q$6:Q6)&lt;=$P$7,INDEX('Dog popn'!$C$5:C7,SMALL(IF(dogstage=0,IF(dogstatus=0,ROW(dogstatus)-ROW('Dog popn'!$E$5)+1)),ROWS(Q$6:Q6))),"")</f>
        <v/>
      </c>
      <c r="R6" s="85" t="str">
        <f t="array" ref="R6">IF(ROWS(R$6:R6)&lt;=$P$8,INDEX('Dog popn'!$C$5:$C$7,SMALL(IF(dogstage=0,IF(dogstatus=1,ROW(dogstatus)-ROW('Dog popn'!$E$5)+1)),ROWS(R$6:R6))),"")</f>
        <v/>
      </c>
      <c r="S6" s="50"/>
      <c r="T6" s="136" t="str">
        <f t="array" ref="T6">IF(ROWS(T$6:T6)&lt;=$S$7,INDEX('Questions transversales'!$C$5:$C$19,SMALL(IF(crossstage=0,IF(crossstatus=0,ROW(crossstatus)-ROW('Questions transversales'!$E$5)+1)),ROWS(T$6:T6))),"")</f>
        <v/>
      </c>
      <c r="U6" s="49" t="str">
        <f t="array" ref="U6">IF(ROWS(U$6:U6)&lt;=$S$8,INDEX('Questions transversales'!$C$5:$C$19,SMALL(IF(crossstage=0,IF(crossstatus=1,ROW(crossstatus)-ROW('Questions transversales'!$E$5)+1)),ROWS(U$6:U6))),"")</f>
        <v/>
      </c>
    </row>
    <row r="7" spans="1:21" s="51" customFormat="1" ht="56">
      <c r="A7" s="140">
        <f>SUMPRODUCT((STAGE=0)*(STATUS=0))</f>
        <v>0</v>
      </c>
      <c r="B7" s="132" t="str">
        <f t="array" ref="B7">IF(ROWS(B$6:B7)&lt;=$A$7,INDEX(Legislation!$C$5:$C$16,SMALL(IF(STAGE=0,IF(STATUS=0,ROW(STATUS)-ROW(Legislation!$E$5)+1)),ROWS(B$6:B7))),"")</f>
        <v/>
      </c>
      <c r="C7" s="86" t="str">
        <f t="array" ref="C7">IF(ROWS(C$6:C7)&lt;=$A$8,INDEX(Legislation!$C$5:$C$16,SMALL(IF(STAGE=0,IF(STATUS=1,ROW(STATUS)-ROW(Legislation!$E$5)+1)),ROWS(C$6:C7))),"")</f>
        <v>Une définition nationale d’un cas de rage humaine est disponible</v>
      </c>
      <c r="D7" s="62">
        <f>SUMPRODUCT((datastage=0)*(datastatus=0))</f>
        <v>0</v>
      </c>
      <c r="E7" s="132" t="str">
        <f>IF(ROWS(E$6:E7)&lt;=$D$7,INDEX('Data coll &amp; ax'!$C$5:$C$13,SMALL(IF(datastage=0,IF(datastatus=0,ROW(datastatus)-ROW('Data coll &amp; ax'!$E$5)+1)),ROWS(E$6:E7))),"")</f>
        <v/>
      </c>
      <c r="F7" s="86" t="str">
        <f>IF(ROWS(F$6:F7)&lt;=$D$8,INDEX('Data coll &amp; ax'!$C$5:$C$13,SMALL(IF(datastage=0,IF(datastatus=1,ROW(datastatus)-ROW('Data coll &amp; ax'!$E$5)+1)),ROWS(F$6:F7))),"")</f>
        <v/>
      </c>
      <c r="G7" s="53">
        <f>SUMPRODUCT((labstage=0)*(labstatus=0))</f>
        <v>0</v>
      </c>
      <c r="H7" s="137" t="str">
        <f t="array" ref="H7">IF(ROWS(H$6:H7)&lt;=$G$7,INDEX('Diagnostique lab'!$C$5:$C$14,SMALL(IF(labstage=0,IF(labstatus=0,ROW(labstatus)-ROW('Diagnostique lab'!$E$5)+1)),ROWS(H$6:H7))),"")</f>
        <v/>
      </c>
      <c r="I7" s="52" t="str">
        <f t="array" ref="I7">IF(ROWS(I$6:I7)&lt;=$G$8,INDEX('Diagnostique lab'!$C$5:$C$14,SMALL(IF(labstage=0,IF(labstatus=1,ROW(labstatus)-ROW('Diagnostique lab'!$F$5)+1)),ROWS(I$6:I7))),"")</f>
        <v>Plusieurs rage échantillon suspect de santé humaine ou animale est soumise à un laboratoire international de référence de la rage pour la confirmation</v>
      </c>
      <c r="J7" s="53">
        <f>SUMPRODUCT((iecstage=0)*(iecstatus=0))</f>
        <v>0</v>
      </c>
      <c r="K7" s="133" t="str">
        <f t="array" ref="K7">IF(ROWS(K$6:K7)&lt;=$J$7,INDEX(IEC!$C$5:$C$22,SMALL(IF(iecstage=0,IF(iecstatus=0,ROW(iecstatus)-ROW(IEC!$E$5)+1)),ROWS(K$6:K7))),"")</f>
        <v/>
      </c>
      <c r="L7" s="86" t="str">
        <f t="array" ref="L7">IF(ROWS(L$6:L7)&lt;=$J$8,INDEX(IEC!$C$5:$C$22,SMALL(IF(iecstage=0,IF(iecstatus=1,ROW(iecstatus)-ROW(IEC!$E$5)+1)),ROWS(L$6:L7))),"")</f>
        <v/>
      </c>
      <c r="M7" s="57">
        <f>SUMPRODUCT((prevstage=0)*(prevstatus=0))</f>
        <v>0</v>
      </c>
      <c r="N7" s="137" t="str">
        <f t="array" ref="N7">IF(ROWS(N$6:N7)&lt;=$M$7,INDEX('Prev &amp; Ctrl'!$C$5:$C$29,SMALL(IF(prevstage=0,IF(prevstatus=0,ROW(prevstatus)-ROW('Prev &amp; Ctrl'!$E$5)+1)),ROWS(N$6:N7))),"")</f>
        <v/>
      </c>
      <c r="O7" s="52" t="str">
        <f t="array" ref="O7">IF(ROWS(O$6:O7)&lt;=$M$8,INDEX('Prev &amp; Ctrl'!$C$5:$C$29,SMALL(IF(prevstage=0,IF(prevstatus=1,ROW(prevstatus)-ROW('Prev &amp; Ctrl'!$E$5)+1)),ROWS(O$6:O7))),"")</f>
        <v/>
      </c>
      <c r="P7" s="53">
        <f>SUMPRODUCT((dogstage=0)*(dogstatus=0))</f>
        <v>0</v>
      </c>
      <c r="Q7" s="133" t="str">
        <f t="array" ref="Q7">IF(ROWS(Q$6:Q7)&lt;=$P$7,INDEX('Dog popn'!$C$5:C8,SMALL(IF(dogstage=0,IF(dogstatus=0,ROW(dogstatus)-ROW('Dog popn'!$E$5)+1)),ROWS(Q$6:Q7))),"")</f>
        <v/>
      </c>
      <c r="R7" s="86" t="str">
        <f t="array" ref="R7">IF(ROWS(R$6:R7)&lt;=$P$8,INDEX('Dog popn'!$C$5:$C$7,SMALL(IF(dogstage=0,IF(dogstatus=1,ROW(dogstatus)-ROW('Dog popn'!$E$5)+1)),ROWS(R$6:R7))),"")</f>
        <v/>
      </c>
      <c r="S7" s="53">
        <f>SUMPRODUCT((crossstage=0)*(crossstatus=0))</f>
        <v>0</v>
      </c>
      <c r="T7" s="137" t="str">
        <f t="array" ref="T7">IF(ROWS(T$6:T7)&lt;=$S$7,INDEX('Questions transversales'!$C$5:$C$19,SMALL(IF(crossstage=0,IF(crossstatus=0,ROW(crossstatus)-ROW('Questions transversales'!$E$5)+1)),ROWS(T$6:T7))),"")</f>
        <v/>
      </c>
      <c r="U7" s="52" t="str">
        <f t="array" ref="U7">IF(ROWS(U$6:U7)&lt;=$S$8,INDEX('Questions transversales'!$C$5:$C$19,SMALL(IF(crossstage=0,IF(crossstatus=1,ROW(crossstatus)-ROW('Questions transversales'!$E$5)+1)),ROWS(U$6:U7))),"")</f>
        <v/>
      </c>
    </row>
    <row r="8" spans="1:21" s="51" customFormat="1">
      <c r="A8" s="140">
        <f>SUMPRODUCT((STAGE=0)*(STATUS=1))</f>
        <v>2</v>
      </c>
      <c r="B8" s="133" t="str">
        <f t="array" ref="B8">IF(ROWS(B$6:B8)&lt;=$A$7,INDEX(Legislation!$C$5:$C$16,SMALL(IF(STAGE=0,IF(STATUS=0,ROW(STATUS)-ROW(Legislation!$E$5)+1)),ROWS(B$6:B8))),"")</f>
        <v/>
      </c>
      <c r="C8" s="86" t="str">
        <f t="array" ref="C8">IF(ROWS(C$6:C8)&lt;=$A$8,INDEX(Legislation!$C$5:$C$16,SMALL(IF(STAGE=0,IF(STATUS=1,ROW(STATUS)-ROW(Legislation!$E$5)+1)),ROWS(C$6:C8))),"")</f>
        <v/>
      </c>
      <c r="D8" s="62">
        <f>SUMPRODUCT((datastage=0)*(datastatus=1))</f>
        <v>0</v>
      </c>
      <c r="E8" s="133" t="str">
        <f>IF(ROWS(E$6:E8)&lt;=$D$7,INDEX('Data coll &amp; ax'!$C$5:$C$13,SMALL(IF(datastage=0,IF(datastatus=0,ROW(datastatus)-ROW('Data coll &amp; ax'!$E$5)+1)),ROWS(E$6:E8))),"")</f>
        <v/>
      </c>
      <c r="F8" s="86" t="str">
        <f>IF(ROWS(F$6:F8)&lt;=$D$8,INDEX('Data coll &amp; ax'!$C$5:$C$13,SMALL(IF(datastage=0,IF(datastatus=1,ROW(datastatus)-ROW('Data coll &amp; ax'!$E$5)+1)),ROWS(F$6:F8))),"")</f>
        <v/>
      </c>
      <c r="G8" s="53">
        <f>SUMPRODUCT((labstage=0)*(labstatus=1))</f>
        <v>2</v>
      </c>
      <c r="H8" s="137" t="str">
        <f t="array" ref="H8">IF(ROWS(H$6:H8)&lt;=$G$7,INDEX('Diagnostique lab'!$C$5:$C$14,SMALL(IF(labstage=0,IF(labstatus=0,ROW(labstatus)-ROW('Diagnostique lab'!$E$5)+1)),ROWS(H$6:H8))),"")</f>
        <v/>
      </c>
      <c r="I8" s="52" t="str">
        <f t="array" ref="I8">IF(ROWS(I$6:I8)&lt;=$G$8,INDEX('Diagnostique lab'!$C$5:$C$14,SMALL(IF(labstage=0,IF(labstatus=1,ROW(labstatus)-ROW('Diagnostique lab'!$F$5)+1)),ROWS(I$6:I8))),"")</f>
        <v/>
      </c>
      <c r="J8" s="53">
        <f>SUMPRODUCT((iecstage=0)*(iecstatus=1))</f>
        <v>1</v>
      </c>
      <c r="K8" s="133" t="str">
        <f t="array" ref="K8">IF(ROWS(K$6:K8)&lt;=$J$7,INDEX(IEC!$C$5:$C$22,SMALL(IF(iecstage=0,IF(iecstatus=0,ROW(iecstatus)-ROW(IEC!$E$5)+1)),ROWS(K$6:K8))),"")</f>
        <v/>
      </c>
      <c r="L8" s="86" t="str">
        <f t="array" ref="L8">IF(ROWS(L$6:L8)&lt;=$J$8,INDEX(IEC!$C$5:$C$22,SMALL(IF(iecstage=0,IF(iecstatus=1,ROW(iecstatus)-ROW(IEC!$E$5)+1)),ROWS(L$6:L8))),"")</f>
        <v/>
      </c>
      <c r="M8" s="57">
        <f>SUMPRODUCT((prevstage=0)*(prevstatus=1))</f>
        <v>0</v>
      </c>
      <c r="N8" s="137" t="str">
        <f t="array" ref="N8">IF(ROWS(N$6:N8)&lt;=$M$7,INDEX('Prev &amp; Ctrl'!$C$5:$C$29,SMALL(IF(prevstage=0,IF(prevstatus=0,ROW(prevstatus)-ROW('Prev &amp; Ctrl'!$E$5)+1)),ROWS(N$6:N8))),"")</f>
        <v/>
      </c>
      <c r="O8" s="52" t="str">
        <f t="array" ref="O8">IF(ROWS(O$6:O8)&lt;=$M$8,INDEX('Prev &amp; Ctrl'!$C$5:$C$29,SMALL(IF(prevstage=0,IF(prevstatus=1,ROW(prevstatus)-ROW('Prev &amp; Ctrl'!$E$5)+1)),ROWS(O$6:O8))),"")</f>
        <v/>
      </c>
      <c r="P8" s="53">
        <f>SUMPRODUCT((dogstage=0)*(dogstatus=1))</f>
        <v>0</v>
      </c>
      <c r="Q8" s="133" t="str">
        <f t="array" ref="Q8">IF(ROWS(Q$6:Q8)&lt;=$P$7,INDEX('Dog popn'!$C$5:C9,SMALL(IF(dogstage=0,IF(dogstatus=0,ROW(dogstatus)-ROW('Dog popn'!$E$5)+1)),ROWS(Q$6:Q8))),"")</f>
        <v/>
      </c>
      <c r="R8" s="86" t="str">
        <f t="array" ref="R8">IF(ROWS(R$6:R8)&lt;=$P$8,INDEX('Dog popn'!$C$5:$C$7,SMALL(IF(dogstage=0,IF(dogstatus=1,ROW(dogstatus)-ROW('Dog popn'!$E$5)+1)),ROWS(R$6:R8))),"")</f>
        <v/>
      </c>
      <c r="S8" s="53">
        <f>SUMPRODUCT((crossstage=0)*(crossstatus=1))</f>
        <v>0</v>
      </c>
      <c r="T8" s="137" t="str">
        <f t="array" ref="T8">IF(ROWS(T$6:T8)&lt;=$S$7,INDEX('Questions transversales'!$C$5:$C$19,SMALL(IF(crossstage=0,IF(crossstatus=0,ROW(crossstatus)-ROW('Questions transversales'!$E$5)+1)),ROWS(T$6:T8))),"")</f>
        <v/>
      </c>
      <c r="U8" s="52" t="str">
        <f t="array" ref="U8">IF(ROWS(U$6:U8)&lt;=$S$8,INDEX('Questions transversales'!$C$5:$C$19,SMALL(IF(crossstage=0,IF(crossstatus=1,ROW(crossstatus)-ROW('Questions transversales'!$E$5)+1)),ROWS(U$6:U8))),"")</f>
        <v/>
      </c>
    </row>
    <row r="9" spans="1:21" s="51" customFormat="1">
      <c r="A9" s="141"/>
      <c r="B9" s="133" t="str">
        <f t="array" ref="B9">IF(ROWS(B$6:B9)&lt;=$A$7,INDEX(Legislation!$C$5:$C$16,SMALL(IF(STAGE=0,IF(STATUS=0,ROW(STATUS)-ROW(Legislation!$E$5)+1)),ROWS(B$6:B9))),"")</f>
        <v/>
      </c>
      <c r="C9" s="86" t="str">
        <f t="array" ref="C9">IF(ROWS(C$6:C9)&lt;=$A$8,INDEX(Legislation!$C$5:$C$16,SMALL(IF(STAGE=0,IF(STATUS=1,ROW(STATUS)-ROW(Legislation!$E$5)+1)),ROWS(C$6:C9))),"")</f>
        <v/>
      </c>
      <c r="D9" s="62"/>
      <c r="E9" s="133" t="str">
        <f>IF(ROWS(E$6:E9)&lt;=$D$7,INDEX('Data coll &amp; ax'!$C$5:$C$13,SMALL(IF(datastage=0,IF(datastatus=0,ROW(datastatus)-ROW('Data coll &amp; ax'!$E$5)+1)),ROWS(E$6:E9))),"")</f>
        <v/>
      </c>
      <c r="F9" s="86" t="str">
        <f>IF(ROWS(F$6:F9)&lt;=$D$8,INDEX('Data coll &amp; ax'!$C$5:$C$13,SMALL(IF(datastage=0,IF(datastatus=1,ROW(datastatus)-ROW('Data coll &amp; ax'!$E$5)+1)),ROWS(F$6:F9))),"")</f>
        <v/>
      </c>
      <c r="G9" s="53"/>
      <c r="H9" s="137" t="str">
        <f t="array" ref="H9">IF(ROWS(H$6:H9)&lt;=$G$7,INDEX('Diagnostique lab'!$C$5:$C$14,SMALL(IF(labstage=0,IF(labstatus=0,ROW(labstatus)-ROW('Diagnostique lab'!$E$5)+1)),ROWS(H$6:H9))),"")</f>
        <v/>
      </c>
      <c r="I9" s="52" t="str">
        <f t="array" ref="I9">IF(ROWS(I$6:I9)&lt;=$G$8,INDEX('Diagnostique lab'!$C$5:$C$14,SMALL(IF(labstage=0,IF(labstatus=1,ROW(labstatus)-ROW('Diagnostique lab'!$F$5)+1)),ROWS(I$6:I9))),"")</f>
        <v/>
      </c>
      <c r="J9" s="53"/>
      <c r="K9" s="133" t="str">
        <f t="array" ref="K9">IF(ROWS(K$6:K9)&lt;=$J$7,INDEX(IEC!$C$5:$C$22,SMALL(IF(iecstage=0,IF(iecstatus=0,ROW(iecstatus)-ROW(IEC!$E$5)+1)),ROWS(K$6:K9))),"")</f>
        <v/>
      </c>
      <c r="L9" s="86" t="str">
        <f t="array" ref="L9">IF(ROWS(L$6:L9)&lt;=$J$8,INDEX(IEC!$C$5:$C$22,SMALL(IF(iecstage=0,IF(iecstatus=1,ROW(iecstatus)-ROW(IEC!$E$5)+1)),ROWS(L$6:L9))),"")</f>
        <v/>
      </c>
      <c r="M9" s="57"/>
      <c r="N9" s="137" t="str">
        <f t="array" ref="N9">IF(ROWS(N$6:N9)&lt;=$M$7,INDEX('Prev &amp; Ctrl'!$C$5:$C$29,SMALL(IF(prevstage=0,IF(prevstatus=0,ROW(prevstatus)-ROW('Prev &amp; Ctrl'!$E$5)+1)),ROWS(N$6:N9))),"")</f>
        <v/>
      </c>
      <c r="O9" s="52" t="str">
        <f t="array" ref="O9">IF(ROWS(O$6:O9)&lt;=$M$8,INDEX('Prev &amp; Ctrl'!$C$5:$C$29,SMALL(IF(prevstage=0,IF(prevstatus=1,ROW(prevstatus)-ROW('Prev &amp; Ctrl'!$E$5)+1)),ROWS(O$6:O9))),"")</f>
        <v/>
      </c>
      <c r="P9" s="53"/>
      <c r="Q9" s="133" t="str">
        <f t="array" ref="Q9">IF(ROWS(Q$6:Q9)&lt;=$P$7,INDEX('Dog popn'!$C$5:C10,SMALL(IF(dogstage=0,IF(dogstatus=0,ROW(dogstatus)-ROW('Dog popn'!$E$5)+1)),ROWS(Q$6:Q9))),"")</f>
        <v/>
      </c>
      <c r="R9" s="86" t="str">
        <f t="array" ref="R9">IF(ROWS(R$6:R9)&lt;=$P$8,INDEX('Dog popn'!$C$5:$C$7,SMALL(IF(dogstage=0,IF(dogstatus=1,ROW(dogstatus)-ROW('Dog popn'!$E$5)+1)),ROWS(R$6:R9))),"")</f>
        <v/>
      </c>
      <c r="S9" s="53"/>
      <c r="T9" s="137" t="str">
        <f t="array" ref="T9">IF(ROWS(T$6:T9)&lt;=$S$7,INDEX('Questions transversales'!$C$5:$C$19,SMALL(IF(crossstage=0,IF(crossstatus=0,ROW(crossstatus)-ROW('Questions transversales'!$E$5)+1)),ROWS(T$6:T9))),"")</f>
        <v/>
      </c>
      <c r="U9" s="52" t="str">
        <f t="array" ref="U9">IF(ROWS(U$6:U9)&lt;=$S$8,INDEX('Questions transversales'!$C$5:$C$19,SMALL(IF(crossstage=0,IF(crossstatus=1,ROW(crossstatus)-ROW('Questions transversales'!$E$5)+1)),ROWS(U$6:U9))),"")</f>
        <v/>
      </c>
    </row>
    <row r="10" spans="1:21" s="51" customFormat="1">
      <c r="A10" s="142"/>
      <c r="B10" s="134" t="str">
        <f t="array" ref="B10">IF(ROWS(B$6:B10)&lt;=$A$7,INDEX(Legislation!$C$5:$C$16,SMALL(IF(STAGE=0,IF(STATUS=0,ROW(STATUS)-ROW(Legislation!$E$5)+1)),ROWS(B$6:B10))),"")</f>
        <v/>
      </c>
      <c r="C10" s="87" t="str">
        <f t="array" ref="C10">IF(ROWS(C$6:C10)&lt;=$A$8,INDEX(Legislation!$C$5:$C$16,SMALL(IF(STAGE=0,IF(STATUS=1,ROW(STATUS)-ROW(Legislation!$E$5)+1)),ROWS(C$6:C10))),"")</f>
        <v/>
      </c>
      <c r="D10" s="63"/>
      <c r="E10" s="134" t="str">
        <f>IF(ROWS(E$6:E10)&lt;=$D$7,INDEX('Data coll &amp; ax'!$C$5:$C$13,SMALL(IF(datastage=0,IF(datastatus=0,ROW(datastatus)-ROW('Data coll &amp; ax'!$E$5)+1)),ROWS(E$6:E10))),"")</f>
        <v/>
      </c>
      <c r="F10" s="87" t="str">
        <f>IF(ROWS(F$6:F10)&lt;=$D$8,INDEX('Data coll &amp; ax'!$C$5:$C$13,SMALL(IF(datastage=0,IF(datastatus=1,ROW(datastatus)-ROW('Data coll &amp; ax'!$E$5)+1)),ROWS(F$6:F10))),"")</f>
        <v/>
      </c>
      <c r="G10" s="55"/>
      <c r="H10" s="138" t="str">
        <f t="array" ref="H10">IF(ROWS(H$6:H10)&lt;=$G$7,INDEX('Diagnostique lab'!$C$5:$C$14,SMALL(IF(labstage=0,IF(labstatus=0,ROW(labstatus)-ROW('Diagnostique lab'!$E$5)+1)),ROWS(H$6:H10))),"")</f>
        <v/>
      </c>
      <c r="I10" s="54" t="str">
        <f t="array" ref="I10">IF(ROWS(I$6:I10)&lt;=$G$8,INDEX('Diagnostique lab'!$C$5:$C$14,SMALL(IF(labstage=0,IF(labstatus=1,ROW(labstatus)-ROW('Diagnostique lab'!$F$5)+1)),ROWS(I$6:I10))),"")</f>
        <v/>
      </c>
      <c r="J10" s="55"/>
      <c r="K10" s="134" t="str">
        <f t="array" ref="K10">IF(ROWS(K$6:K10)&lt;=$J$7,INDEX(IEC!$C$5:$C$22,SMALL(IF(iecstage=0,IF(iecstatus=0,ROW(iecstatus)-ROW(IEC!$E$5)+1)),ROWS(K$6:K10))),"")</f>
        <v/>
      </c>
      <c r="L10" s="87" t="str">
        <f t="array" ref="L10">IF(ROWS(L$6:L10)&lt;=$J$8,INDEX(IEC!$C$5:$C$22,SMALL(IF(iecstage=0,IF(iecstatus=1,ROW(iecstatus)-ROW(IEC!$E$5)+1)),ROWS(L$6:L10))),"")</f>
        <v/>
      </c>
      <c r="M10" s="58"/>
      <c r="N10" s="138" t="str">
        <f t="array" ref="N10">IF(ROWS(N$6:N10)&lt;=$M$7,INDEX('Prev &amp; Ctrl'!$C$5:$C$29,SMALL(IF(prevstage=0,IF(prevstatus=0,ROW(prevstatus)-ROW('Prev &amp; Ctrl'!$E$5)+1)),ROWS(N$6:N10))),"")</f>
        <v/>
      </c>
      <c r="O10" s="54" t="str">
        <f t="array" ref="O10">IF(ROWS(O$6:O10)&lt;=$M$8,INDEX('Prev &amp; Ctrl'!$C$5:$C$29,SMALL(IF(prevstage=0,IF(prevstatus=1,ROW(prevstatus)-ROW('Prev &amp; Ctrl'!$E$5)+1)),ROWS(O$6:O10))),"")</f>
        <v/>
      </c>
      <c r="P10" s="55"/>
      <c r="Q10" s="134" t="str">
        <f t="array" ref="Q10">IF(ROWS(Q$6:Q10)&lt;=$P$7,INDEX('Dog popn'!$C$5:C11,SMALL(IF(dogstage=0,IF(dogstatus=0,ROW(dogstatus)-ROW('Dog popn'!$E$5)+1)),ROWS(Q$6:Q10))),"")</f>
        <v/>
      </c>
      <c r="R10" s="87" t="str">
        <f t="array" ref="R10">IF(ROWS(R$6:R10)&lt;=$P$8,INDEX('Dog popn'!$C$5:$C$7,SMALL(IF(dogstage=0,IF(dogstatus=1,ROW(dogstatus)-ROW('Dog popn'!$E$5)+1)),ROWS(R$6:R10))),"")</f>
        <v/>
      </c>
      <c r="S10" s="55"/>
      <c r="T10" s="138" t="str">
        <f t="array" ref="T10">IF(ROWS(T$6:T10)&lt;=$S$7,INDEX('Questions transversales'!$C$5:$C$19,SMALL(IF(crossstage=0,IF(crossstatus=0,ROW(crossstatus)-ROW('Questions transversales'!$E$5)+1)),ROWS(T$6:T10))),"")</f>
        <v/>
      </c>
      <c r="U10" s="54" t="str">
        <f t="array" ref="U10">IF(ROWS(U$6:U10)&lt;=$S$8,INDEX('Questions transversales'!$C$5:$C$19,SMALL(IF(crossstage=0,IF(crossstatus=1,ROW(crossstatus)-ROW('Questions transversales'!$E$5)+1)),ROWS(U$6:U10))),"")</f>
        <v/>
      </c>
    </row>
    <row r="11" spans="1:21" s="51" customFormat="1" ht="56">
      <c r="A11" s="150">
        <v>1</v>
      </c>
      <c r="B11" s="135" t="str">
        <f t="array" ref="B11">IF(ROWS(B$11:B11)&lt;=$A$12,INDEX(Legislation!$C$5:$C$16,SMALL(IF(STAGE=1,IF(STATUS=0,ROW(STATUS)-ROW(Legislation!$E$5)+1)),ROWS(B$11:B11))),"")</f>
        <v/>
      </c>
      <c r="C11" s="85" t="str">
        <f t="array" ref="C11">IF(ROWS(C$11:C11)&lt;=$A$13,INDEX(Legislation!$C$5:$C$16,SMALL(IF(STAGE=1,IF(STATUS=1,ROW(STATUS)-ROW(Legislation!$E$5)+1)),ROWS(C$11:C11))),"")</f>
        <v>La définition de cas de rage animale a été diffusé aux professionnels concernés</v>
      </c>
      <c r="D11" s="64"/>
      <c r="E11" s="131" t="str">
        <f t="array" ref="E11">IF(ROWS(E$11:E11)&lt;=$D$12,INDEX('Data coll &amp; ax'!$C$5:$C$13,SMALL(IF(datastage=1,IF(datastatus=0,ROW(datastatus)-ROW('Data coll &amp; ax'!$E$5)+1)),ROWS(E$11:E11))),"")</f>
        <v/>
      </c>
      <c r="F11" s="85" t="str">
        <f t="array" ref="F11">IF(ROWS(F$11:F11)&lt;=$D$13,INDEX('Data coll &amp; ax'!$C$5:$C$13,SMALL(IF(datastage=1,IF(datastatus=1,ROW(datastatus)-ROW('Data coll &amp; ax'!$E$5)+1)),ROWS(F$11:F11))),"")</f>
        <v>Signalant de la rage canine du niveau local au niveau national et de la capacité d'analyse des données au niveau national a été établi</v>
      </c>
      <c r="G11" s="50"/>
      <c r="H11" s="136" t="str">
        <f t="array" ref="H11">IF(ROWS(H$11:H11)&lt;=$G$12,INDEX('Diagnostique lab'!$C$5:$C$14,SMALL(IF(labstage=1,IF(labstatus=0,ROW(labstatus)-ROW('Diagnostique lab'!$E$5)+1)),ROWS(H$11:H11))),"")</f>
        <v/>
      </c>
      <c r="I11" s="49" t="str">
        <f t="array" ref="I11">IF(ROWS(I$11:I11)&lt;=$G$13,INDEX('Diagnostique lab'!$C$5:$C$14,SMALL(IF(labstage=1,IF(labstatus=1,ROW(labstatus)-ROW('Diagnostique lab'!$F$5)+1)),ROWS(I$11:I11))),"")</f>
        <v>La capacité de diagnostic de la rage a été établi dans au moins un laboratoire national</v>
      </c>
      <c r="J11" s="50"/>
      <c r="K11" s="131" t="str">
        <f t="array" ref="K11">IF(ROWS(K$11:K11)&lt;=$J$12,INDEX(IEC!$C$5:$C$22,SMALL(IF(iecstage=1,IF(iecstatus=0,ROW(iecstatus)-ROW(IEC!$E$5)+1)),ROWS(K$11:K11))),"")</f>
        <v>Un plan de communication de la rage a été développé</v>
      </c>
      <c r="L11" s="85" t="str">
        <f t="array" ref="L11">IF(ROWS(L$11:L11)&lt;=$J$13,INDEX(IEC!$C$5:$C$22,SMALL(IF(iecstage=1,IF(iecstatus=1,ROW(iecstatus)-ROW(IEC!$E$5)+1)),ROWS(L$11:L11))),"")</f>
        <v>Des études sur 'Knowledge, Attitude and Practice (KAP survey)' sur la rage ont été menées dans des zones pilotes</v>
      </c>
      <c r="M11" s="56"/>
      <c r="N11" s="136" t="str">
        <f t="array" ref="N11">IF(ROWS(N$11:N11)&lt;=$M$12,INDEX('Prev &amp; Ctrl'!$C$5:$C$29,SMALL(IF(prevstage=1,IF(prevstatus=0,ROW(prevstatus)-ROW('Prev &amp; Ctrl'!$E$5)+1)),ROWS(N$11:N11))),"")</f>
        <v>Organisation des activités de contrôle de la rage ( au moins dans les zones pilotes ) ont été menées</v>
      </c>
      <c r="O11" s="49" t="str">
        <f t="array" ref="O11">IF(ROWS(O$11:O11)&lt;=$M$13,INDEX('Prev &amp; Ctrl'!$C$5:$C$29,SMALL(IF(prevstage=1,IF(prevstatus=1,ROW(prevstatus)-ROW('Prev &amp; Ctrl'!$E$5)+1)),ROWS(O$11:O11))),"")</f>
        <v>Vaccins et produits biologiques pour la prophylaxie de la rage humaine sont disponibles dans le pays</v>
      </c>
      <c r="P11" s="50"/>
      <c r="Q11" s="131" t="str">
        <f t="array" ref="Q11">IF(ROWS(Q$11:Q11)&lt;=$P$12,INDEX('Dog popn'!$C$5:C12,SMALL(IF(dogstage=1,IF(dogstatus=0,ROW(dogstatus)-ROW('Dog popn'!$E$5)+1)),ROWS(Q$11:Q11))),"")</f>
        <v>Dog études de population pour déterminer la taille , le retournement du produit et l'accessibilité ont été menées dans des zones pilotes</v>
      </c>
      <c r="R11" s="85" t="str">
        <f t="array" ref="R11">IF(ROWS(R$11:R11)&lt;=$P$13,INDEX('Dog popn'!$C$5:$C$7,SMALL(IF(dogstage=1,IF(dogstatus=1,ROW(dogstatus)-ROW('Dog popn'!$E$5)+1)),ROWS(R$11:R11))),"")</f>
        <v/>
      </c>
      <c r="S11" s="50"/>
      <c r="T11" s="136" t="str">
        <f t="array" ref="T11">IF(ROWS(T$11:T11)&lt;=$S$12,INDEX('Questions transversales'!$C$5:$C$19,SMALL(IF(crossstage=1,IF(crossstatus=0,ROW(crossstatus)-ROW('Questions transversales'!$E$5)+1)),ROWS(T$11:T11))),"")</f>
        <v xml:space="preserve">Basée sur l’expérience de zones pilotes, un plan d’action contre la rage à court terme a été élaboré et endossé par des acteurs concernés au niveau local et national </v>
      </c>
      <c r="U11" s="49" t="str">
        <f t="array" ref="U11">IF(ROWS(U$11:U11)&lt;=$S$13,INDEX('Questions transversales'!$C$5:$C$19,SMALL(IF(crossstage=1,IF(crossstatus=1,ROW(crossstatus)-ROW('Questions transversales'!$E$5)+1)),ROWS(U$11:U11))),"")</f>
        <v xml:space="preserve">L’identification de plusieurs acteurs nationaux dans la prevention et le contrôle de la rage a été effectuée </v>
      </c>
    </row>
    <row r="12" spans="1:21" s="51" customFormat="1" ht="70">
      <c r="A12" s="143">
        <f>SUMPRODUCT((STAGE=1)*(STATUS=0))</f>
        <v>0</v>
      </c>
      <c r="B12" s="135" t="str">
        <f t="array" ref="B12">IF(ROWS(B$11:B12)&lt;=$A$12,INDEX(Legislation!$C$5:$C$16,SMALL(IF(STAGE=1,IF(STATUS=0,ROW(STATUS)-ROW(Legislation!$E$5)+1)),ROWS(B$11:B12))),"")</f>
        <v/>
      </c>
      <c r="C12" s="86" t="str">
        <f t="array" ref="C12">IF(ROWS(C$11:C12)&lt;=$A$13,INDEX(Legislation!$C$5:$C$16,SMALL(IF(STAGE=1,IF(STATUS=1,ROW(STATUS)-ROW(Legislation!$E$5)+1)),ROWS(C$11:C12))),"")</f>
        <v>La définition de cas de rage humaine a été diffusé aux professionnels concernés</v>
      </c>
      <c r="D12" s="59">
        <f>SUMPRODUCT((datastage=1)*(datastatus=0))</f>
        <v>0</v>
      </c>
      <c r="E12" s="133" t="str">
        <f t="array" ref="E12">IF(ROWS(E$11:E12)&lt;=$D$12,INDEX('Data coll &amp; ax'!$C$5:$C$13,SMALL(IF(datastage=1,IF(datastatus=0,ROW(datastatus)-ROW('Data coll &amp; ax'!$E$5)+1)),ROWS(E$11:E12))),"")</f>
        <v/>
      </c>
      <c r="F12" s="86" t="str">
        <f t="array" ref="F12">IF(ROWS(F$11:F12)&lt;=$D$13,INDEX('Data coll &amp; ax'!$C$5:$C$13,SMALL(IF(datastage=1,IF(datastatus=1,ROW(datastatus)-ROW('Data coll &amp; ax'!$E$5)+1)),ROWS(F$11:F12))),"")</f>
        <v>Signalant de la rage humaine du niveau local au niveau national et de la capacité d'analyse des données au niveau national a été établi</v>
      </c>
      <c r="G12" s="53">
        <f>SUMPRODUCT((labstage=1)*(labstatus=0))</f>
        <v>0</v>
      </c>
      <c r="H12" s="137" t="str">
        <f t="array" ref="H12">IF(ROWS(H$11:H12)&lt;=$G$12,INDEX('Diagnostique lab'!$C$5:$C$14,SMALL(IF(labstage=1,IF(labstatus=0,ROW(labstatus)-ROW('Diagnostique lab'!$E$5)+1)),ROWS(H$11:H12))),"")</f>
        <v/>
      </c>
      <c r="I12" s="52" t="str">
        <f t="array" ref="I12">IF(ROWS(I$11:I12)&lt;=$G$13,INDEX('Diagnostique lab'!$C$5:$C$14,SMALL(IF(labstage=1,IF(labstatus=1,ROW(labstatus)-ROW('Diagnostique lab'!$F$5)+1)),ROWS(I$11:I12))),"")</f>
        <v/>
      </c>
      <c r="J12" s="53">
        <f>SUMPRODUCT((iecstage=1)*(iecstatus=0))</f>
        <v>3</v>
      </c>
      <c r="K12" s="133" t="str">
        <f t="array" ref="K12">IF(ROWS(K$11:K12)&lt;=$J$12,INDEX(IEC!$C$5:$C$22,SMALL(IF(iecstage=1,IF(iecstatus=0,ROW(iecstatus)-ROW(IEC!$E$5)+1)),ROWS(K$11:K12))),"")</f>
        <v>Propriétaires responsables de chiens et de vaccination des chiens appartenant à deux et sans maître ont été promus</v>
      </c>
      <c r="L12" s="86" t="str">
        <f t="array" ref="L12">IF(ROWS(L$11:L12)&lt;=$J$13,INDEX(IEC!$C$5:$C$22,SMALL(IF(iecstage=1,IF(iecstatus=1,ROW(iecstatus)-ROW(IEC!$E$5)+1)),ROWS(L$11:L12))),"")</f>
        <v>Des campagnes de sensibilisation ont été lancées</v>
      </c>
      <c r="M12" s="57">
        <f>SUMPRODUCT((prevstage=1)*(prevstatus=0))</f>
        <v>1</v>
      </c>
      <c r="N12" s="137" t="str">
        <f t="array" ref="N12">IF(ROWS(N$11:N12)&lt;=$M$12,INDEX('Prev &amp; Ctrl'!$C$5:$C$29,SMALL(IF(prevstage=1,IF(prevstatus=0,ROW(prevstatus)-ROW('Prev &amp; Ctrl'!$E$5)+1)),ROWS(N$11:N12))),"")</f>
        <v/>
      </c>
      <c r="O12" s="52" t="str">
        <f t="array" ref="O12">IF(ROWS(O$11:O12)&lt;=$M$13,INDEX('Prev &amp; Ctrl'!$C$5:$C$29,SMALL(IF(prevstage=1,IF(prevstatus=1,ROW(prevstatus)-ROW('Prev &amp; Ctrl'!$E$5)+1)),ROWS(O$11:O12))),"")</f>
        <v>Répartition des centres de traitement de la rage fonctionnels dans le pays ( par exemple, nombre d'enregistrement des patients par jour , le nombre de doses actuellement utilisé )</v>
      </c>
      <c r="P12" s="53">
        <f>SUMPRODUCT((dogstage=1)*(dogstatus=0))</f>
        <v>1</v>
      </c>
      <c r="Q12" s="133" t="str">
        <f t="array" ref="Q12">IF(ROWS(Q$11:Q12)&lt;=$P$12,INDEX('Dog popn'!$C$5:C13,SMALL(IF(dogstage=1,IF(dogstatus=0,ROW(dogstatus)-ROW('Dog popn'!$E$5)+1)),ROWS(Q$11:Q12))),"")</f>
        <v/>
      </c>
      <c r="R12" s="86" t="str">
        <f t="array" ref="R12">IF(ROWS(R$11:R12)&lt;=$P$13,INDEX('Dog popn'!$C$5:$C$7,SMALL(IF(dogstage=1,IF(dogstatus=1,ROW(dogstatus)-ROW('Dog popn'!$E$5)+1)),ROWS(R$11:R12))),"")</f>
        <v/>
      </c>
      <c r="S12" s="53">
        <f>SUMPRODUCT((crossstage=1)*(crossstatus=0))</f>
        <v>2</v>
      </c>
      <c r="T12" s="137" t="str">
        <f t="array" ref="T12">IF(ROWS(T$11:T12)&lt;=$S$12,INDEX('Questions transversales'!$C$5:$C$19,SMALL(IF(crossstage=1,IF(crossstatus=0,ROW(crossstatus)-ROW('Questions transversales'!$E$5)+1)),ROWS(T$11:T12))),"")</f>
        <v>Des mechanisms pour mobiliser des fonds en urgence en cas de foyer ont été identifiés</v>
      </c>
      <c r="U12" s="52" t="str">
        <f t="array" ref="U12">IF(ROWS(U$11:U12)&lt;=$S$13,INDEX('Questions transversales'!$C$5:$C$19,SMALL(IF(crossstage=1,IF(crossstatus=1,ROW(crossstatus)-ROW('Questions transversales'!$E$5)+1)),ROWS(U$11:U12))),"")</f>
        <v>Des consultations des acteurs ont été tenues</v>
      </c>
    </row>
    <row r="13" spans="1:21" s="51" customFormat="1" ht="70">
      <c r="A13" s="143">
        <f>SUMPRODUCT((STAGE=1)*(STATUS=1))</f>
        <v>7</v>
      </c>
      <c r="B13" s="135" t="str">
        <f t="array" ref="B13">IF(ROWS(B$11:B13)&lt;=$A$12,INDEX(Legislation!$C$5:$C$16,SMALL(IF(STAGE=1,IF(STATUS=0,ROW(STATUS)-ROW(Legislation!$E$5)+1)),ROWS(B$11:B13))),"")</f>
        <v/>
      </c>
      <c r="C13" s="86" t="str">
        <f t="array" ref="C13">IF(ROWS(C$11:C13)&lt;=$A$13,INDEX(Legislation!$C$5:$C$16,SMALL(IF(STAGE=1,IF(STATUS=1,ROW(STATUS)-ROW(Legislation!$E$5)+1)),ROWS(C$11:C13))),"")</f>
        <v>Il y a un cadre légal.</v>
      </c>
      <c r="D13" s="59">
        <f>SUMPRODUCT((datastage=1)*(datastatus=1))</f>
        <v>3</v>
      </c>
      <c r="E13" s="133" t="str">
        <f t="array" ref="E13">IF(ROWS(E$11:E13)&lt;=$D$12,INDEX('Data coll &amp; ax'!$C$5:$C$13,SMALL(IF(datastage=1,IF(datastatus=0,ROW(datastatus)-ROW('Data coll &amp; ax'!$E$5)+1)),ROWS(E$11:E13))),"")</f>
        <v/>
      </c>
      <c r="F13" s="86" t="str">
        <f t="array" ref="F13">IF(ROWS(F$11:F13)&lt;=$D$13,INDEX('Data coll &amp; ax'!$C$5:$C$13,SMALL(IF(datastage=1,IF(datastatus=1,ROW(datastatus)-ROW('Data coll &amp; ax'!$E$5)+1)),ROWS(F$11:F13))),"")</f>
        <v>L'exposition de la rage ( morsure de chien ) rapports et de documentation ont été étudiés et les données compilées</v>
      </c>
      <c r="G13" s="53">
        <f>SUMPRODUCT((labstage=1)*(labstatus=1))</f>
        <v>1</v>
      </c>
      <c r="H13" s="137" t="str">
        <f t="array" ref="H13">IF(ROWS(H$11:H13)&lt;=$G$12,INDEX('Diagnostique lab'!$C$5:$C$14,SMALL(IF(labstage=1,IF(labstatus=0,ROW(labstatus)-ROW('Diagnostique lab'!$E$5)+1)),ROWS(H$11:H13))),"")</f>
        <v/>
      </c>
      <c r="I13" s="52" t="str">
        <f t="array" ref="I13">IF(ROWS(I$11:I13)&lt;=$G$13,INDEX('Diagnostique lab'!$C$5:$C$14,SMALL(IF(labstage=1,IF(labstatus=1,ROW(labstatus)-ROW('Diagnostique lab'!$F$5)+1)),ROWS(I$11:I13))),"")</f>
        <v/>
      </c>
      <c r="J13" s="53">
        <f>SUMPRODUCT((iecstage=1)*(iecstatus=1))</f>
        <v>5</v>
      </c>
      <c r="K13" s="133" t="str">
        <f t="array" ref="K13">IF(ROWS(K$11:K13)&lt;=$J$12,INDEX(IEC!$C$5:$C$22,SMALL(IF(iecstage=1,IF(iecstatus=0,ROW(iecstatus)-ROW(IEC!$E$5)+1)),ROWS(K$11:K13))),"")</f>
        <v>Les plans pour la formation des formateurs , des cours de recyclage sur la rage pour les professionnels de la santé humaine et animale ont été développés</v>
      </c>
      <c r="L13" s="86" t="str">
        <f t="array" ref="L13">IF(ROWS(L$11:L13)&lt;=$J$13,INDEX(IEC!$C$5:$C$22,SMALL(IF(iecstage=1,IF(iecstatus=1,ROW(iecstatus)-ROW(IEC!$E$5)+1)),ROWS(L$11:L13))),"")</f>
        <v>Education sur la prévention et le contrôle des communautés, y compris la prévention et la gestion des morsures de chien morsure de chien rage ont été explorées</v>
      </c>
      <c r="M13" s="57">
        <f>SUMPRODUCT((prevstage=1)*(prevstatus=1))</f>
        <v>4</v>
      </c>
      <c r="N13" s="137" t="str">
        <f t="array" ref="N13">IF(ROWS(N$11:N13)&lt;=$M$12,INDEX('Prev &amp; Ctrl'!$C$5:$C$29,SMALL(IF(prevstage=1,IF(prevstatus=0,ROW(prevstatus)-ROW('Prev &amp; Ctrl'!$E$5)+1)),ROWS(N$11:N13))),"")</f>
        <v/>
      </c>
      <c r="O13" s="52" t="str">
        <f t="array" ref="O13">IF(ROWS(O$11:O13)&lt;=$M$13,INDEX('Prev &amp; Ctrl'!$C$5:$C$29,SMALL(IF(prevstage=1,IF(prevstatus=1,ROW(prevstatus)-ROW('Prev &amp; Ctrl'!$E$5)+1)),ROWS(O$11:O13))),"")</f>
        <v>Dog vaccins antirabiques disponibles et l'accès a été réduite jusqu'à</v>
      </c>
      <c r="P13" s="53">
        <f>SUMPRODUCT((dogstage=1)*(dogstatus=1))</f>
        <v>0</v>
      </c>
      <c r="Q13" s="133" t="str">
        <f t="array" ref="Q13">IF(ROWS(Q$11:Q13)&lt;=$P$12,INDEX('Dog popn'!$C$5:C14,SMALL(IF(dogstage=1,IF(dogstatus=0,ROW(dogstatus)-ROW('Dog popn'!$E$5)+1)),ROWS(Q$11:Q13))),"")</f>
        <v/>
      </c>
      <c r="R13" s="86" t="str">
        <f t="array" ref="R13">IF(ROWS(R$11:R13)&lt;=$P$13,INDEX('Dog popn'!$C$5:$C$7,SMALL(IF(dogstage=1,IF(dogstatus=1,ROW(dogstatus)-ROW('Dog popn'!$E$5)+1)),ROWS(R$11:R13))),"")</f>
        <v/>
      </c>
      <c r="S13" s="53">
        <f>SUMPRODUCT((crossstage=1)*(crossstatus=1))</f>
        <v>3</v>
      </c>
      <c r="T13" s="137" t="str">
        <f t="array" ref="T13">IF(ROWS(T$11:T13)&lt;=$S$12,INDEX('Questions transversales'!$C$5:$C$19,SMALL(IF(crossstage=1,IF(crossstatus=0,ROW(crossstatus)-ROW('Questions transversales'!$E$5)+1)),ROWS(T$11:T13))),"")</f>
        <v/>
      </c>
      <c r="U13" s="52" t="str">
        <f t="array" ref="U13">IF(ROWS(U$11:U13)&lt;=$S$13,INDEX('Questions transversales'!$C$5:$C$19,SMALL(IF(crossstage=1,IF(crossstatus=1,ROW(crossstatus)-ROW('Questions transversales'!$E$5)+1)),ROWS(U$11:U13))),"")</f>
        <v>Un groupe de travail, une task force ou un comité intersectoriel sur la rage est établi</v>
      </c>
    </row>
    <row r="14" spans="1:21" s="51" customFormat="1" ht="42">
      <c r="A14" s="144"/>
      <c r="B14" s="135" t="str">
        <f t="array" ref="B14">IF(ROWS(B$11:B14)&lt;=$A$12,INDEX(Legislation!$C$5:$C$16,SMALL(IF(STAGE=1,IF(STATUS=0,ROW(STATUS)-ROW(Legislation!$E$5)+1)),ROWS(B$11:B14))),"")</f>
        <v/>
      </c>
      <c r="C14" s="86" t="str">
        <f t="array" ref="C14">IF(ROWS(C$11:C14)&lt;=$A$13,INDEX(Legislation!$C$5:$C$16,SMALL(IF(STAGE=1,IF(STATUS=1,ROW(STATUS)-ROW(Legislation!$E$5)+1)),ROWS(C$11:C14))),"")</f>
        <v xml:space="preserve">Si il ya un cadre légal, le cadre a été examiné en termes de comment il est courant  </v>
      </c>
      <c r="D14" s="59"/>
      <c r="E14" s="133" t="str">
        <f t="array" ref="E14">IF(ROWS(E$11:E14)&lt;=$D$12,INDEX('Data coll &amp; ax'!$C$5:$C$13,SMALL(IF(datastage=1,IF(datastatus=0,ROW(datastatus)-ROW('Data coll &amp; ax'!$E$5)+1)),ROWS(E$11:E14))),"")</f>
        <v/>
      </c>
      <c r="F14" s="86" t="str">
        <f t="array" ref="F14">IF(ROWS(F$11:F14)&lt;=$D$13,INDEX('Data coll &amp; ax'!$C$5:$C$13,SMALL(IF(datastage=1,IF(datastatus=1,ROW(datastatus)-ROW('Data coll &amp; ax'!$E$5)+1)),ROWS(F$11:F14))),"")</f>
        <v/>
      </c>
      <c r="G14" s="53"/>
      <c r="H14" s="137" t="str">
        <f t="array" ref="H14">IF(ROWS(H$11:H14)&lt;=$G$12,INDEX('Diagnostique lab'!$C$5:$C$14,SMALL(IF(labstage=1,IF(labstatus=0,ROW(labstatus)-ROW('Diagnostique lab'!$E$5)+1)),ROWS(H$11:H14))),"")</f>
        <v/>
      </c>
      <c r="I14" s="52" t="str">
        <f t="array" ref="I14">IF(ROWS(I$11:I14)&lt;=$G$13,INDEX('Diagnostique lab'!$C$5:$C$14,SMALL(IF(labstage=1,IF(labstatus=1,ROW(labstatus)-ROW('Diagnostique lab'!$F$5)+1)),ROWS(I$11:I14))),"")</f>
        <v/>
      </c>
      <c r="J14" s="53"/>
      <c r="K14" s="133" t="str">
        <f t="array" ref="K14">IF(ROWS(K$11:K14)&lt;=$J$12,INDEX(IEC!$C$5:$C$22,SMALL(IF(iecstage=1,IF(iecstatus=0,ROW(iecstatus)-ROW(IEC!$E$5)+1)),ROWS(K$11:K14))),"")</f>
        <v/>
      </c>
      <c r="L14" s="86" t="str">
        <f t="array" ref="L14">IF(ROWS(L$11:L14)&lt;=$J$13,INDEX(IEC!$C$5:$C$22,SMALL(IF(iecstage=1,IF(iecstatus=1,ROW(iecstatus)-ROW(IEC!$E$5)+1)),ROWS(L$11:L14))),"")</f>
        <v>La vaccination des chiens domestiques est promue et menée</v>
      </c>
      <c r="M14" s="57"/>
      <c r="N14" s="137" t="str">
        <f t="array" ref="N14">IF(ROWS(N$11:N14)&lt;=$M$12,INDEX('Prev &amp; Ctrl'!$C$5:$C$29,SMALL(IF(prevstage=1,IF(prevstatus=0,ROW(prevstatus)-ROW('Prev &amp; Ctrl'!$E$5)+1)),ROWS(N$11:N14))),"")</f>
        <v/>
      </c>
      <c r="O14" s="52" t="str">
        <f t="array" ref="O14">IF(ROWS(O$11:O14)&lt;=$M$13,INDEX('Prev &amp; Ctrl'!$C$5:$C$29,SMALL(IF(prevstage=1,IF(prevstatus=1,ROW(prevstatus)-ROW('Prev &amp; Ctrl'!$E$5)+1)),ROWS(O$11:O14))),"")</f>
        <v>Protocoles pour une action coordonnée sur les foyers signalés ont été élaborés</v>
      </c>
      <c r="P14" s="53"/>
      <c r="Q14" s="133" t="str">
        <f t="array" ref="Q14">IF(ROWS(Q$11:Q14)&lt;=$P$12,INDEX('Dog popn'!$C$5:C15,SMALL(IF(dogstage=1,IF(dogstatus=0,ROW(dogstatus)-ROW('Dog popn'!$E$5)+1)),ROWS(Q$11:Q14))),"")</f>
        <v/>
      </c>
      <c r="R14" s="86" t="str">
        <f t="array" ref="R14">IF(ROWS(R$11:R14)&lt;=$P$13,INDEX('Dog popn'!$C$5:$C$7,SMALL(IF(dogstage=1,IF(dogstatus=1,ROW(dogstatus)-ROW('Dog popn'!$E$5)+1)),ROWS(R$11:R14))),"")</f>
        <v/>
      </c>
      <c r="S14" s="53"/>
      <c r="T14" s="137" t="str">
        <f t="array" ref="T14">IF(ROWS(T$11:T14)&lt;=$S$12,INDEX('Questions transversales'!$C$5:$C$19,SMALL(IF(crossstage=1,IF(crossstatus=0,ROW(crossstatus)-ROW('Questions transversales'!$E$5)+1)),ROWS(T$11:T14))),"")</f>
        <v/>
      </c>
      <c r="U14" s="52" t="str">
        <f t="array" ref="U14">IF(ROWS(U$11:U14)&lt;=$S$13,INDEX('Questions transversales'!$C$5:$C$19,SMALL(IF(crossstage=1,IF(crossstatus=1,ROW(crossstatus)-ROW('Questions transversales'!$E$5)+1)),ROWS(U$11:U14))),"")</f>
        <v/>
      </c>
    </row>
    <row r="15" spans="1:21" s="51" customFormat="1" ht="42">
      <c r="A15" s="144"/>
      <c r="B15" s="135" t="str">
        <f t="array" ref="B15">IF(ROWS(B$11:B15)&lt;=$A$12,INDEX(Legislation!$C$5:$C$16,SMALL(IF(STAGE=1,IF(STATUS=0,ROW(STATUS)-ROW(Legislation!$E$5)+1)),ROWS(B$11:B15))),"")</f>
        <v/>
      </c>
      <c r="C15" s="86" t="str">
        <f t="array" ref="C15">IF(ROWS(C$11:C15)&lt;=$A$13,INDEX(Legislation!$C$5:$C$16,SMALL(IF(STAGE=1,IF(STATUS=1,ROW(STATUS)-ROW(Legislation!$E$5)+1)),ROWS(C$11:C15))),"")</f>
        <v> La rage est une maladie à declaration obligatoire chez les humains et les animaux dans le cadre</v>
      </c>
      <c r="D15" s="59"/>
      <c r="E15" s="133" t="str">
        <f t="array" ref="E15">IF(ROWS(E$11:E15)&lt;=$D$12,INDEX('Data coll &amp; ax'!$C$5:$C$13,SMALL(IF(datastage=1,IF(datastatus=0,ROW(datastatus)-ROW('Data coll &amp; ax'!$E$5)+1)),ROWS(E$11:E15))),"")</f>
        <v/>
      </c>
      <c r="F15" s="86" t="str">
        <f t="array" ref="F15">IF(ROWS(F$11:F15)&lt;=$D$13,INDEX('Data coll &amp; ax'!$C$5:$C$13,SMALL(IF(datastage=1,IF(datastatus=1,ROW(datastatus)-ROW('Data coll &amp; ax'!$E$5)+1)),ROWS(F$11:F15))),"")</f>
        <v/>
      </c>
      <c r="G15" s="53"/>
      <c r="H15" s="137" t="str">
        <f t="array" ref="H15">IF(ROWS(H$11:H15)&lt;=$G$12,INDEX('Diagnostique lab'!$C$5:$C$14,SMALL(IF(labstage=1,IF(labstatus=0,ROW(labstatus)-ROW('Diagnostique lab'!$E$5)+1)),ROWS(H$11:H15))),"")</f>
        <v/>
      </c>
      <c r="I15" s="52" t="str">
        <f t="array" ref="I15">IF(ROWS(I$11:I15)&lt;=$G$13,INDEX('Diagnostique lab'!$C$5:$C$14,SMALL(IF(labstage=1,IF(labstatus=1,ROW(labstatus)-ROW('Diagnostique lab'!$F$5)+1)),ROWS(I$11:I15))),"")</f>
        <v/>
      </c>
      <c r="J15" s="53"/>
      <c r="K15" s="133" t="str">
        <f t="array" ref="K15">IF(ROWS(K$11:K15)&lt;=$J$12,INDEX(IEC!$C$5:$C$22,SMALL(IF(iecstage=1,IF(iecstatus=0,ROW(iecstatus)-ROW(IEC!$E$5)+1)),ROWS(K$11:K15))),"")</f>
        <v/>
      </c>
      <c r="L15" s="86" t="str">
        <f t="array" ref="L15">IF(ROWS(L$11:L15)&lt;=$J$13,INDEX(IEC!$C$5:$C$22,SMALL(IF(iecstage=1,IF(iecstatus=1,ROW(iecstatus)-ROW(IEC!$E$5)+1)),ROWS(L$11:L15))),"")</f>
        <v>Sensibilisation des leaders communautaires et les autorités ont été lancées</v>
      </c>
      <c r="M15" s="57"/>
      <c r="N15" s="137" t="str">
        <f t="array" ref="N15">IF(ROWS(N$11:N15)&lt;=$M$12,INDEX('Prev &amp; Ctrl'!$C$5:$C$29,SMALL(IF(prevstage=1,IF(prevstatus=0,ROW(prevstatus)-ROW('Prev &amp; Ctrl'!$E$5)+1)),ROWS(N$11:N15))),"")</f>
        <v/>
      </c>
      <c r="O15" s="52" t="str">
        <f t="array" ref="O15">IF(ROWS(O$11:O15)&lt;=$M$13,INDEX('Prev &amp; Ctrl'!$C$5:$C$29,SMALL(IF(prevstage=1,IF(prevstatus=1,ROW(prevstatus)-ROW('Prev &amp; Ctrl'!$E$5)+1)),ROWS(O$11:O15))),"")</f>
        <v/>
      </c>
      <c r="P15" s="53"/>
      <c r="Q15" s="133" t="str">
        <f t="array" ref="Q15">IF(ROWS(Q$11:Q15)&lt;=$P$12,INDEX('Dog popn'!$C$5:C16,SMALL(IF(dogstage=1,IF(dogstatus=0,ROW(dogstatus)-ROW('Dog popn'!$E$5)+1)),ROWS(Q$11:Q15))),"")</f>
        <v/>
      </c>
      <c r="R15" s="86" t="str">
        <f t="array" ref="R15">IF(ROWS(R$11:R15)&lt;=$P$13,INDEX('Dog popn'!$C$5:$C$7,SMALL(IF(dogstage=1,IF(dogstatus=1,ROW(dogstatus)-ROW('Dog popn'!$E$5)+1)),ROWS(R$11:R15))),"")</f>
        <v/>
      </c>
      <c r="S15" s="53"/>
      <c r="T15" s="137" t="str">
        <f t="array" ref="T15">IF(ROWS(T$11:T15)&lt;=$S$12,INDEX('Questions transversales'!$C$5:$C$19,SMALL(IF(crossstage=1,IF(crossstatus=0,ROW(crossstatus)-ROW('Questions transversales'!$E$5)+1)),ROWS(T$11:T15))),"")</f>
        <v/>
      </c>
      <c r="U15" s="52" t="str">
        <f t="array" ref="U15">IF(ROWS(U$11:U15)&lt;=$S$13,INDEX('Questions transversales'!$C$5:$C$19,SMALL(IF(crossstage=1,IF(crossstatus=1,ROW(crossstatus)-ROW('Questions transversales'!$E$5)+1)),ROWS(U$11:U15))),"")</f>
        <v/>
      </c>
    </row>
    <row r="16" spans="1:21" s="51" customFormat="1" ht="42">
      <c r="A16" s="144"/>
      <c r="B16" s="135" t="str">
        <f t="array" ref="B16">IF(ROWS(B$11:B16)&lt;=$A$12,INDEX(Legislation!$C$5:$C$16,SMALL(IF(STAGE=1,IF(STATUS=0,ROW(STATUS)-ROW(Legislation!$E$5)+1)),ROWS(B$11:B16))),"")</f>
        <v/>
      </c>
      <c r="C16" s="86" t="str">
        <f t="array" ref="C16">IF(ROWS(C$11:C16)&lt;=$A$13,INDEX(Legislation!$C$5:$C$16,SMALL(IF(STAGE=1,IF(STATUS=1,ROW(STATUS)-ROW(Legislation!$E$5)+1)),ROWS(C$11:C16))),"")</f>
        <v xml:space="preserve">La législation inclut les propriétaires de chiens et la vaccination obligatoire contre la rage </v>
      </c>
      <c r="D16" s="59"/>
      <c r="E16" s="133" t="str">
        <f t="array" ref="E16">IF(ROWS(E$11:E16)&lt;=$D$12,INDEX('Data coll &amp; ax'!$C$5:$C$13,SMALL(IF(datastage=1,IF(datastatus=0,ROW(datastatus)-ROW('Data coll &amp; ax'!$E$5)+1)),ROWS(E$11:E16))),"")</f>
        <v/>
      </c>
      <c r="F16" s="86" t="str">
        <f t="array" ref="F16">IF(ROWS(F$11:F16)&lt;=$D$13,INDEX('Data coll &amp; ax'!$C$5:$C$13,SMALL(IF(datastage=1,IF(datastatus=1,ROW(datastatus)-ROW('Data coll &amp; ax'!$E$5)+1)),ROWS(F$11:F16))),"")</f>
        <v/>
      </c>
      <c r="G16" s="53"/>
      <c r="H16" s="137" t="str">
        <f t="array" ref="H16">IF(ROWS(H$11:H16)&lt;=$G$12,INDEX('Diagnostique lab'!$C$5:$C$14,SMALL(IF(labstage=1,IF(labstatus=0,ROW(labstatus)-ROW('Diagnostique lab'!$E$5)+1)),ROWS(H$11:H16))),"")</f>
        <v/>
      </c>
      <c r="I16" s="52" t="str">
        <f t="array" ref="I16">IF(ROWS(I$11:I16)&lt;=$G$13,INDEX('Diagnostique lab'!$C$5:$C$14,SMALL(IF(labstage=1,IF(labstatus=1,ROW(labstatus)-ROW('Diagnostique lab'!$F$5)+1)),ROWS(I$11:I16))),"")</f>
        <v/>
      </c>
      <c r="J16" s="53"/>
      <c r="K16" s="133" t="str">
        <f t="array" ref="K16">IF(ROWS(K$11:K16)&lt;=$J$12,INDEX(IEC!$C$5:$C$22,SMALL(IF(iecstage=1,IF(iecstatus=0,ROW(iecstatus)-ROW(IEC!$E$5)+1)),ROWS(K$11:K16))),"")</f>
        <v/>
      </c>
      <c r="L16" s="86" t="str">
        <f t="array" ref="L16">IF(ROWS(L$11:L16)&lt;=$J$13,INDEX(IEC!$C$5:$C$22,SMALL(IF(iecstage=1,IF(iecstatus=1,ROW(iecstatus)-ROW(IEC!$E$5)+1)),ROWS(L$11:L16))),"")</f>
        <v/>
      </c>
      <c r="M16" s="57"/>
      <c r="N16" s="137" t="str">
        <f t="array" ref="N16">IF(ROWS(N$11:N16)&lt;=$M$12,INDEX('Prev &amp; Ctrl'!$C$5:$C$29,SMALL(IF(prevstage=1,IF(prevstatus=0,ROW(prevstatus)-ROW('Prev &amp; Ctrl'!$E$5)+1)),ROWS(N$11:N16))),"")</f>
        <v/>
      </c>
      <c r="O16" s="52" t="str">
        <f t="array" ref="O16">IF(ROWS(O$11:O16)&lt;=$M$13,INDEX('Prev &amp; Ctrl'!$C$5:$C$29,SMALL(IF(prevstage=1,IF(prevstatus=1,ROW(prevstatus)-ROW('Prev &amp; Ctrl'!$E$5)+1)),ROWS(O$11:O16))),"")</f>
        <v/>
      </c>
      <c r="P16" s="53"/>
      <c r="Q16" s="133" t="str">
        <f t="array" ref="Q16">IF(ROWS(Q$11:Q16)&lt;=$P$12,INDEX('Dog popn'!$C$5:C17,SMALL(IF(dogstage=1,IF(dogstatus=0,ROW(dogstatus)-ROW('Dog popn'!$E$5)+1)),ROWS(Q$11:Q16))),"")</f>
        <v/>
      </c>
      <c r="R16" s="86" t="str">
        <f t="array" ref="R16">IF(ROWS(R$11:R16)&lt;=$P$13,INDEX('Dog popn'!$C$5:$C$7,SMALL(IF(dogstage=1,IF(dogstatus=1,ROW(dogstatus)-ROW('Dog popn'!$E$5)+1)),ROWS(R$11:R16))),"")</f>
        <v/>
      </c>
      <c r="S16" s="53"/>
      <c r="T16" s="137" t="str">
        <f t="array" ref="T16">IF(ROWS(T$11:T16)&lt;=$S$12,INDEX('Questions transversales'!$C$5:$C$19,SMALL(IF(crossstage=1,IF(crossstatus=0,ROW(crossstatus)-ROW('Questions transversales'!$E$5)+1)),ROWS(T$11:T16))),"")</f>
        <v/>
      </c>
      <c r="U16" s="52" t="str">
        <f t="array" ref="U16">IF(ROWS(U$11:U16)&lt;=$S$13,INDEX('Questions transversales'!$C$5:$C$19,SMALL(IF(crossstage=1,IF(crossstatus=1,ROW(crossstatus)-ROW('Questions transversales'!$E$5)+1)),ROWS(U$11:U16))),"")</f>
        <v/>
      </c>
    </row>
    <row r="17" spans="1:21" s="51" customFormat="1" ht="56">
      <c r="A17" s="144"/>
      <c r="B17" s="135" t="str">
        <f t="array" ref="B17">IF(ROWS(B$11:B17)&lt;=$A$12,INDEX(Legislation!$C$5:$C$16,SMALL(IF(STAGE=1,IF(STATUS=0,ROW(STATUS)-ROW(Legislation!$E$5)+1)),ROWS(B$11:B17))),"")</f>
        <v/>
      </c>
      <c r="C17" s="86" t="str">
        <f t="array" ref="C17">IF(ROWS(C$11:C17)&lt;=$A$13,INDEX(Legislation!$C$5:$C$16,SMALL(IF(STAGE=1,IF(STATUS=1,ROW(STATUS)-ROW(Legislation!$E$5)+1)),ROWS(C$11:C17))),"")</f>
        <v>La legislation inclut des procédures opérationelles standards/permanentes (SOPs) à propos des déclarations et de la réponse aux foyers</v>
      </c>
      <c r="D17" s="59"/>
      <c r="E17" s="133" t="str">
        <f t="array" ref="E17">IF(ROWS(E$11:E17)&lt;=$D$12,INDEX('Data coll &amp; ax'!$C$5:$C$13,SMALL(IF(datastage=1,IF(datastatus=0,ROW(datastatus)-ROW('Data coll &amp; ax'!$E$5)+1)),ROWS(E$11:E17))),"")</f>
        <v/>
      </c>
      <c r="F17" s="86" t="str">
        <f t="array" ref="F17">IF(ROWS(F$11:F17)&lt;=$D$13,INDEX('Data coll &amp; ax'!$C$5:$C$13,SMALL(IF(datastage=1,IF(datastatus=1,ROW(datastatus)-ROW('Data coll &amp; ax'!$E$5)+1)),ROWS(F$11:F17))),"")</f>
        <v/>
      </c>
      <c r="G17" s="53"/>
      <c r="H17" s="137" t="str">
        <f t="array" ref="H17">IF(ROWS(H$11:H17)&lt;=$G$12,INDEX('Diagnostique lab'!$C$5:$C$14,SMALL(IF(labstage=1,IF(labstatus=0,ROW(labstatus)-ROW('Diagnostique lab'!$E$5)+1)),ROWS(H$11:H17))),"")</f>
        <v/>
      </c>
      <c r="I17" s="52" t="str">
        <f t="array" ref="I17">IF(ROWS(I$11:I17)&lt;=$G$13,INDEX('Diagnostique lab'!$C$5:$C$14,SMALL(IF(labstage=1,IF(labstatus=1,ROW(labstatus)-ROW('Diagnostique lab'!$F$5)+1)),ROWS(I$11:I17))),"")</f>
        <v/>
      </c>
      <c r="J17" s="53"/>
      <c r="K17" s="133" t="str">
        <f t="array" ref="K17">IF(ROWS(K$11:K17)&lt;=$J$12,INDEX(IEC!$C$5:$C$22,SMALL(IF(iecstage=1,IF(iecstatus=0,ROW(iecstatus)-ROW(IEC!$E$5)+1)),ROWS(K$11:K17))),"")</f>
        <v/>
      </c>
      <c r="L17" s="86" t="str">
        <f t="array" ref="L17">IF(ROWS(L$11:L17)&lt;=$J$13,INDEX(IEC!$C$5:$C$22,SMALL(IF(iecstage=1,IF(iecstatus=1,ROW(iecstatus)-ROW(IEC!$E$5)+1)),ROWS(L$11:L17))),"")</f>
        <v/>
      </c>
      <c r="M17" s="57"/>
      <c r="N17" s="137" t="str">
        <f t="array" ref="N17">IF(ROWS(N$11:N17)&lt;=$M$12,INDEX('Prev &amp; Ctrl'!$C$5:$C$29,SMALL(IF(prevstage=1,IF(prevstatus=0,ROW(prevstatus)-ROW('Prev &amp; Ctrl'!$E$5)+1)),ROWS(N$11:N17))),"")</f>
        <v/>
      </c>
      <c r="O17" s="52" t="str">
        <f t="array" ref="O17">IF(ROWS(O$11:O17)&lt;=$M$13,INDEX('Prev &amp; Ctrl'!$C$5:$C$29,SMALL(IF(prevstage=1,IF(prevstatus=1,ROW(prevstatus)-ROW('Prev &amp; Ctrl'!$E$5)+1)),ROWS(O$11:O17))),"")</f>
        <v/>
      </c>
      <c r="P17" s="53"/>
      <c r="Q17" s="133" t="str">
        <f t="array" ref="Q17">IF(ROWS(Q$11:Q17)&lt;=$P$12,INDEX('Dog popn'!$C$5:C18,SMALL(IF(dogstage=1,IF(dogstatus=0,ROW(dogstatus)-ROW('Dog popn'!$E$5)+1)),ROWS(Q$11:Q17))),"")</f>
        <v/>
      </c>
      <c r="R17" s="86" t="str">
        <f t="array" ref="R17">IF(ROWS(R$11:R17)&lt;=$P$13,INDEX('Dog popn'!$C$5:$C$7,SMALL(IF(dogstage=1,IF(dogstatus=1,ROW(dogstatus)-ROW('Dog popn'!$E$5)+1)),ROWS(R$11:R17))),"")</f>
        <v/>
      </c>
      <c r="S17" s="53"/>
      <c r="T17" s="137" t="str">
        <f t="array" ref="T17">IF(ROWS(T$11:T17)&lt;=$S$12,INDEX('Questions transversales'!$C$5:$C$19,SMALL(IF(crossstage=1,IF(crossstatus=0,ROW(crossstatus)-ROW('Questions transversales'!$E$5)+1)),ROWS(T$11:T17))),"")</f>
        <v/>
      </c>
      <c r="U17" s="52" t="str">
        <f t="array" ref="U17">IF(ROWS(U$11:U17)&lt;=$S$13,INDEX('Questions transversales'!$C$5:$C$19,SMALL(IF(crossstage=1,IF(crossstatus=1,ROW(crossstatus)-ROW('Questions transversales'!$E$5)+1)),ROWS(U$11:U17))),"")</f>
        <v/>
      </c>
    </row>
    <row r="18" spans="1:21" s="51" customFormat="1">
      <c r="A18" s="144"/>
      <c r="B18" s="135" t="str">
        <f t="array" ref="B18">IF(ROWS(B$11:B18)&lt;=$A$12,INDEX(Legislation!$C$5:$C$16,SMALL(IF(STAGE=1,IF(STATUS=0,ROW(STATUS)-ROW(Legislation!$E$5)+1)),ROWS(B$11:B18))),"")</f>
        <v/>
      </c>
      <c r="C18" s="86" t="str">
        <f t="array" ref="C18">IF(ROWS(C$11:C18)&lt;=$A$13,INDEX(Legislation!$C$5:$C$16,SMALL(IF(STAGE=1,IF(STATUS=1,ROW(STATUS)-ROW(Legislation!$E$5)+1)),ROWS(C$11:C18))),"")</f>
        <v/>
      </c>
      <c r="D18" s="59"/>
      <c r="E18" s="133" t="str">
        <f t="array" ref="E18">IF(ROWS(E$11:E18)&lt;=$D$12,INDEX('Data coll &amp; ax'!$C$5:$C$13,SMALL(IF(datastage=1,IF(datastatus=0,ROW(datastatus)-ROW('Data coll &amp; ax'!$E$5)+1)),ROWS(E$11:E18))),"")</f>
        <v/>
      </c>
      <c r="F18" s="86" t="str">
        <f t="array" ref="F18">IF(ROWS(F$11:F18)&lt;=$D$13,INDEX('Data coll &amp; ax'!$C$5:$C$13,SMALL(IF(datastage=1,IF(datastatus=1,ROW(datastatus)-ROW('Data coll &amp; ax'!$E$5)+1)),ROWS(F$11:F18))),"")</f>
        <v/>
      </c>
      <c r="G18" s="53"/>
      <c r="H18" s="137" t="str">
        <f t="array" ref="H18">IF(ROWS(H$11:H18)&lt;=$G$12,INDEX('Diagnostique lab'!$C$5:$C$14,SMALL(IF(labstage=1,IF(labstatus=0,ROW(labstatus)-ROW('Diagnostique lab'!$E$5)+1)),ROWS(H$11:H18))),"")</f>
        <v/>
      </c>
      <c r="I18" s="52" t="str">
        <f t="array" ref="I18">IF(ROWS(I$11:I18)&lt;=$G$13,INDEX('Diagnostique lab'!$C$5:$C$14,SMALL(IF(labstage=1,IF(labstatus=1,ROW(labstatus)-ROW('Diagnostique lab'!$F$5)+1)),ROWS(I$11:I18))),"")</f>
        <v/>
      </c>
      <c r="J18" s="53"/>
      <c r="K18" s="133" t="str">
        <f t="array" ref="K18">IF(ROWS(K$11:K18)&lt;=$J$12,INDEX(IEC!$C$5:$C$22,SMALL(IF(iecstage=1,IF(iecstatus=0,ROW(iecstatus)-ROW(IEC!$E$5)+1)),ROWS(K$11:K18))),"")</f>
        <v/>
      </c>
      <c r="L18" s="86" t="str">
        <f t="array" ref="L18">IF(ROWS(L$11:L18)&lt;=$J$13,INDEX(IEC!$C$5:$C$22,SMALL(IF(iecstage=1,IF(iecstatus=1,ROW(iecstatus)-ROW(IEC!$E$5)+1)),ROWS(L$11:L18))),"")</f>
        <v/>
      </c>
      <c r="M18" s="57"/>
      <c r="N18" s="137" t="str">
        <f t="array" ref="N18">IF(ROWS(N$11:N18)&lt;=$M$12,INDEX('Prev &amp; Ctrl'!$C$5:$C$29,SMALL(IF(prevstage=1,IF(prevstatus=0,ROW(prevstatus)-ROW('Prev &amp; Ctrl'!$E$5)+1)),ROWS(N$11:N18))),"")</f>
        <v/>
      </c>
      <c r="O18" s="52" t="str">
        <f t="array" ref="O18">IF(ROWS(O$11:O18)&lt;=$M$13,INDEX('Prev &amp; Ctrl'!$C$5:$C$29,SMALL(IF(prevstage=1,IF(prevstatus=1,ROW(prevstatus)-ROW('Prev &amp; Ctrl'!$E$5)+1)),ROWS(O$11:O18))),"")</f>
        <v/>
      </c>
      <c r="P18" s="53"/>
      <c r="Q18" s="133" t="str">
        <f t="array" ref="Q18">IF(ROWS(Q$11:Q18)&lt;=$P$12,INDEX('Dog popn'!$C$5:C19,SMALL(IF(dogstage=1,IF(dogstatus=0,ROW(dogstatus)-ROW('Dog popn'!$E$5)+1)),ROWS(Q$11:Q18))),"")</f>
        <v/>
      </c>
      <c r="R18" s="86" t="str">
        <f t="array" ref="R18">IF(ROWS(R$11:R18)&lt;=$P$13,INDEX('Dog popn'!$C$5:$C$7,SMALL(IF(dogstage=1,IF(dogstatus=1,ROW(dogstatus)-ROW('Dog popn'!$E$5)+1)),ROWS(R$11:R18))),"")</f>
        <v/>
      </c>
      <c r="S18" s="53"/>
      <c r="T18" s="137" t="str">
        <f t="array" ref="T18">IF(ROWS(T$11:T18)&lt;=$S$12,INDEX('Questions transversales'!$C$5:$C$19,SMALL(IF(crossstage=1,IF(crossstatus=0,ROW(crossstatus)-ROW('Questions transversales'!$E$5)+1)),ROWS(T$11:T18))),"")</f>
        <v/>
      </c>
      <c r="U18" s="52" t="str">
        <f t="array" ref="U18">IF(ROWS(U$11:U18)&lt;=$S$13,INDEX('Questions transversales'!$C$5:$C$19,SMALL(IF(crossstage=1,IF(crossstatus=1,ROW(crossstatus)-ROW('Questions transversales'!$E$5)+1)),ROWS(U$11:U18))),"")</f>
        <v/>
      </c>
    </row>
    <row r="19" spans="1:21" s="51" customFormat="1">
      <c r="A19" s="145"/>
      <c r="B19" s="135" t="str">
        <f t="array" ref="B19">IF(ROWS(B$11:B19)&lt;=$A$12,INDEX(Legislation!$C$5:$C$16,SMALL(IF(STAGE=1,IF(STATUS=0,ROW(STATUS)-ROW(Legislation!$E$5)+1)),ROWS(B$11:B19))),"")</f>
        <v/>
      </c>
      <c r="C19" s="87" t="str">
        <f t="array" ref="C19">IF(ROWS(C$11:C19)&lt;=$A$13,INDEX(Legislation!$C$5:$C$16,SMALL(IF(STAGE=1,IF(STATUS=1,ROW(STATUS)-ROW(Legislation!$E$5)+1)),ROWS(C$11:C19))),"")</f>
        <v/>
      </c>
      <c r="D19" s="65"/>
      <c r="E19" s="133" t="str">
        <f t="array" ref="E19">IF(ROWS(E$11:E19)&lt;=$D$12,INDEX('Data coll &amp; ax'!$C$5:$C$13,SMALL(IF(datastage=1,IF(datastatus=0,ROW(datastatus)-ROW('Data coll &amp; ax'!$E$5)+1)),ROWS(E$11:E19))),"")</f>
        <v/>
      </c>
      <c r="F19" s="87" t="str">
        <f t="array" ref="F19">IF(ROWS(F$11:F19)&lt;=$D$13,INDEX('Data coll &amp; ax'!$C$5:$C$13,SMALL(IF(datastage=1,IF(datastatus=1,ROW(datastatus)-ROW('Data coll &amp; ax'!$E$5)+1)),ROWS(F$11:F19))),"")</f>
        <v/>
      </c>
      <c r="G19" s="55"/>
      <c r="H19" s="138" t="str">
        <f t="array" ref="H19">IF(ROWS(H$11:H19)&lt;=$G$12,INDEX('Diagnostique lab'!$C$5:$C$14,SMALL(IF(labstage=1,IF(labstatus=0,ROW(labstatus)-ROW('Diagnostique lab'!$E$5)+1)),ROWS(H$11:H19))),"")</f>
        <v/>
      </c>
      <c r="I19" s="54" t="str">
        <f t="array" ref="I19">IF(ROWS(I$11:I19)&lt;=$G$13,INDEX('Diagnostique lab'!$C$5:$C$14,SMALL(IF(labstage=1,IF(labstatus=1,ROW(labstatus)-ROW('Diagnostique lab'!$F$5)+1)),ROWS(I$11:I19))),"")</f>
        <v/>
      </c>
      <c r="J19" s="55"/>
      <c r="K19" s="134" t="str">
        <f t="array" ref="K19">IF(ROWS(K$11:K19)&lt;=$J$12,INDEX(IEC!$C$5:$C$22,SMALL(IF(iecstage=1,IF(iecstatus=0,ROW(iecstatus)-ROW(IEC!$E$5)+1)),ROWS(K$11:K19))),"")</f>
        <v/>
      </c>
      <c r="L19" s="87" t="str">
        <f t="array" ref="L19">IF(ROWS(L$11:L19)&lt;=$J$13,INDEX(IEC!$C$5:$C$22,SMALL(IF(iecstage=1,IF(iecstatus=1,ROW(iecstatus)-ROW(IEC!$E$5)+1)),ROWS(L$11:L19))),"")</f>
        <v/>
      </c>
      <c r="M19" s="58"/>
      <c r="N19" s="138" t="str">
        <f t="array" ref="N19">IF(ROWS(N$11:N19)&lt;=$M$12,INDEX('Prev &amp; Ctrl'!$C$5:$C$29,SMALL(IF(prevstage=1,IF(prevstatus=0,ROW(prevstatus)-ROW('Prev &amp; Ctrl'!$E$5)+1)),ROWS(N$11:N19))),"")</f>
        <v/>
      </c>
      <c r="O19" s="54" t="str">
        <f t="array" ref="O19">IF(ROWS(O$11:O19)&lt;=$M$13,INDEX('Prev &amp; Ctrl'!$C$5:$C$29,SMALL(IF(prevstage=1,IF(prevstatus=1,ROW(prevstatus)-ROW('Prev &amp; Ctrl'!$E$5)+1)),ROWS(O$11:O19))),"")</f>
        <v/>
      </c>
      <c r="P19" s="55"/>
      <c r="Q19" s="134" t="str">
        <f t="array" ref="Q19">IF(ROWS(Q$11:Q19)&lt;=$P$12,INDEX('Dog popn'!$C$5:C20,SMALL(IF(dogstage=1,IF(dogstatus=0,ROW(dogstatus)-ROW('Dog popn'!$E$5)+1)),ROWS(Q$11:Q19))),"")</f>
        <v/>
      </c>
      <c r="R19" s="87" t="str">
        <f t="array" ref="R19">IF(ROWS(R$11:R19)&lt;=$P$13,INDEX('Dog popn'!$C$5:$C$7,SMALL(IF(dogstage=1,IF(dogstatus=1,ROW(dogstatus)-ROW('Dog popn'!$E$5)+1)),ROWS(R$11:R19))),"")</f>
        <v/>
      </c>
      <c r="S19" s="55"/>
      <c r="T19" s="138" t="str">
        <f t="array" ref="T19">IF(ROWS(T$11:T19)&lt;=$S$12,INDEX('Questions transversales'!$C$5:$C$19,SMALL(IF(crossstage=1,IF(crossstatus=0,ROW(crossstatus)-ROW('Questions transversales'!$E$5)+1)),ROWS(T$11:T19))),"")</f>
        <v/>
      </c>
      <c r="U19" s="54" t="str">
        <f t="array" ref="U19">IF(ROWS(U$11:U19)&lt;=$S$13,INDEX('Questions transversales'!$C$5:$C$19,SMALL(IF(crossstage=1,IF(crossstatus=1,ROW(crossstatus)-ROW('Questions transversales'!$E$5)+1)),ROWS(U$11:U19))),"")</f>
        <v/>
      </c>
    </row>
    <row r="20" spans="1:21" s="51" customFormat="1" ht="70">
      <c r="A20" s="150">
        <v>2</v>
      </c>
      <c r="B20" s="131" t="str">
        <f t="array" ref="B20">IF(ROWS(B$20:B20)&lt;=$A$21,INDEX(Legislation!$C$5:$C$16,SMALL(IF(STAGE=2,IF(STATUS=0,ROW(STATUS)-ROW(Legislation!$E$5)+1)),ROWS(B$20:B20))),"")</f>
        <v/>
      </c>
      <c r="C20" s="85" t="str">
        <f t="array" ref="C20">IF(ROWS(C$20:C20)&lt;=$A$22,INDEX(Legislation!$C$5:$C$16,SMALL(IF(STAGE=2,IF(STATUS=1,ROW(STATUS)-ROW(Legislation!$E$5)+1)),ROWS(C$20:C20))),"")</f>
        <v>La définition de cas de rage animale a été examiné et a été approuvé ( approche intersectorielle )</v>
      </c>
      <c r="D20" s="61"/>
      <c r="E20" s="131" t="str">
        <f t="array" ref="E20">IF(ROWS(E$20:E20)&lt;=$D$21,INDEX('Data coll &amp; ax'!$C$5:$C$13,SMALL(IF(datastage=2,IF(datastatus=0,ROW(datastatus)-ROW('Data coll &amp; ax'!$E$5)+1)),ROWS(E$20:E20))),"")</f>
        <v>Systèmes de surveillance de la rage coordonnés couvrant l'ensemble du pays ont été établis , y compris les SOPs convenus</v>
      </c>
      <c r="F20" s="85" t="str">
        <f t="array" ref="F20">IF(ROWS(F$20:F20)&lt;=$D$22,INDEX('Data coll &amp; ax'!$C$5:$C$13,SMALL(IF(datastage=2,IF(datastatus=1,ROW(datastatus)-ROW('Data coll &amp; ax'!$E$5)+1)),ROWS(F$20:F20))),"")</f>
        <v/>
      </c>
      <c r="G20" s="50"/>
      <c r="H20" s="136" t="str">
        <f t="array" ref="H20">IF(ROWS(H$20:H20)&lt;=$G$21,INDEX('Diagnostique lab'!$C$5:$C$14,SMALL(IF(labstage=2,IF(labstatus=0,ROW(labstatus)-ROW('Diagnostique lab'!$E$5)+1)),ROWS(H$20:H20))),"")</f>
        <v xml:space="preserve">Plus de 200 echantilllons de chiens suspects de rage sont traites par an </v>
      </c>
      <c r="I20" s="49" t="str">
        <f t="array" ref="I20">IF(ROWS(I$20:I20)&lt;=$G$22,INDEX('Diagnostique lab'!$C$5:$C$14,SMALL(IF(labstage=2,IF(labstatus=1,ROW(labstatus)-ROW('Diagnostique lab'!$F$5)+1)),ROWS(I$20:I20))),"")</f>
        <v>Capacité pour confirmation du diagnostic de la rage dans au moins un laboratoire du pays a été établi</v>
      </c>
      <c r="J20" s="50"/>
      <c r="K20" s="131" t="str">
        <f t="array" ref="K20">IF(ROWS(K$20:K20)&lt;=$J$21,INDEX(IEC!$C$5:$C$22,SMALL(IF(iecstage=2,IF(iecstatus=0,ROW(iecstatus)-ROW(IEC!$E$5)+1)),ROWS(K$20:K20))),"")</f>
        <v>Plan de communication de la rage mis à jour (par exemple, des campagnes de promotion propriétaires responsables de chiens ont été étendues à davantage de domaines )</v>
      </c>
      <c r="L20" s="85" t="str">
        <f t="array" ref="L20">IF(ROWS(L$20:L20)&lt;=$J$22,INDEX(IEC!$C$5:$C$22,SMALL(IF(iecstage=2,IF(iecstatus=1,ROW(iecstatus)-ROW(IEC!$E$5)+1)),ROWS(L$20:L20))),"")</f>
        <v>Un mécanisme de notification et de feedback entre toutes les parties prenantes (à la fois locales et nationales , humaine et animale des bureaux de santé ) a été établi</v>
      </c>
      <c r="M20" s="56"/>
      <c r="N20" s="136" t="str">
        <f t="array" ref="N20">IF(ROWS(N$20:N20)&lt;=$M$21,INDEX('Prev &amp; Ctrl'!$C$5:$C$29,SMALL(IF(prevstage=2,IF(prevstatus=0,ROW(prevstatus)-ROW('Prev &amp; Ctrl'!$E$5)+1)),ROWS(N$20:N20))),"")</f>
        <v>Protocoles de gestion des cas de morsure intégré ont été convenus , y compris le partage de l'information entre les secteurs</v>
      </c>
      <c r="O20" s="49" t="str">
        <f t="array" ref="O20">IF(ROWS(O$20:O20)&lt;=$M$22,INDEX('Prev &amp; Ctrl'!$C$5:$C$29,SMALL(IF(prevstage=2,IF(prevstatus=1,ROW(prevstatus)-ROW('Prev &amp; Ctrl'!$E$5)+1)),ROWS(O$20:O20))),"")</f>
        <v>Biologiques huamins ont été mis à disposition et accessible à la plupart des régions du pays</v>
      </c>
      <c r="P20" s="50"/>
      <c r="Q20" s="131" t="str">
        <f t="array" ref="Q20">IF(ROWS(Q$20:Q20)&lt;=$P$21,INDEX('Dog popn'!$C$5:C21,SMALL(IF(dogstage=2,IF(dogstatus=0,ROW(dogstatus)-ROW('Dog popn'!$E$5)+1)),ROWS(Q$20:Q20))),"")</f>
        <v/>
      </c>
      <c r="R20" s="85" t="str">
        <f t="array" ref="R20">IF(ROWS(R$20:R20)&lt;=$P$21,INDEX('Dog popn'!$C$5:$C$7,SMALL(IF(dogstage=2,IF(dogstatus=1,ROW(dogstatus)-ROW('Dog popn'!$E$5)+1)),ROWS(R$20:R20))),"")</f>
        <v/>
      </c>
      <c r="S20" s="50"/>
      <c r="T20" s="136" t="str">
        <f t="array" ref="T20">IF(ROWS(T$20:T20)&lt;=$S$21,INDEX('Questions transversales'!$C$5:$C$19,SMALL(IF(crossstage=2,IF(crossstatus=0,ROW(crossstatus)-ROW('Questions transversales'!$E$5)+1)),ROWS(T$20:T20))),"")</f>
        <v>Des méchanismes pour une collaboration intersectorielle régulière son ten places et sont mis en oeuvre</v>
      </c>
      <c r="U20" s="49" t="str">
        <f t="array" ref="U20">IF(ROWS(U$20:U20)&lt;=$S$22,INDEX('Questions transversales'!$C$5:$C$19,SMALL(IF(crossstage=2,IF(crossstatus=1,ROW(crossstatus)-ROW('Questions transversales'!$E$5)+1)),ROWS(U$20:U20))),"")</f>
        <v/>
      </c>
    </row>
    <row r="21" spans="1:21" s="51" customFormat="1" ht="70">
      <c r="A21" s="143">
        <f>SUMPRODUCT((STAGE=2)*(STATUS=0))</f>
        <v>0</v>
      </c>
      <c r="B21" s="133" t="str">
        <f t="array" ref="B21">IF(ROWS(B$20:B21)&lt;=$A$21,INDEX(Legislation!$C$5:$C$16,SMALL(IF(STAGE=2,IF(STATUS=0,ROW(STATUS)-ROW(Legislation!$E$5)+1)),ROWS(B$20:B21))),"")</f>
        <v/>
      </c>
      <c r="C21" s="86" t="str">
        <f t="array" ref="C21">IF(ROWS(C$20:C21)&lt;=$A$22,INDEX(Legislation!$C$5:$C$16,SMALL(IF(STAGE=2,IF(STATUS=1,ROW(STATUS)-ROW(Legislation!$E$5)+1)),ROWS(C$20:C21))),"")</f>
        <v>La définition de cas de rage humaine a été examiné et a été approuvé ( approche intersectorielle )</v>
      </c>
      <c r="D21" s="62">
        <f>SUMPRODUCT((datastage=2)*(datastatus=0))</f>
        <v>3</v>
      </c>
      <c r="E21" s="133" t="str">
        <f t="array" ref="E21">IF(ROWS(E$20:E21)&lt;=$D$21,INDEX('Data coll &amp; ax'!$C$5:$C$13,SMALL(IF(datastage=2,IF(datastatus=0,ROW(datastatus)-ROW('Data coll &amp; ax'!$E$5)+1)),ROWS(E$20:E21))),"")</f>
        <v>Un mécanisme de notification et de l'information en retour entre toutes les parties prenantes ( y compris les bureaux locaux et nationaux, santé humaine et animale ) a été établi</v>
      </c>
      <c r="F21" s="86" t="str">
        <f t="array" ref="F21">IF(ROWS(F$20:F21)&lt;=$D$22,INDEX('Data coll &amp; ax'!$C$5:$C$13,SMALL(IF(datastage=2,IF(datastatus=1,ROW(datastatus)-ROW('Data coll &amp; ax'!$E$5)+1)),ROWS(F$20:F21))),"")</f>
        <v/>
      </c>
      <c r="G21" s="53">
        <f>SUMPRODUCT((labstage=2)*(labstatus=0))</f>
        <v>2</v>
      </c>
      <c r="H21" s="137" t="str">
        <f t="array" ref="H21">IF(ROWS(H$20:H21)&lt;=$G$21,INDEX('Diagnostique lab'!$C$5:$C$14,SMALL(IF(labstage=2,IF(labstatus=0,ROW(labstatus)-ROW('Diagnostique lab'!$E$5)+1)),ROWS(H$20:H21))),"")</f>
        <v xml:space="preserve">Plus de 50 echantilllons d'autres especes domestiques ou sauvages  sensibles  sont traites par an </v>
      </c>
      <c r="I21" s="52" t="str">
        <f t="array" ref="I21">IF(ROWS(I$20:I21)&lt;=$G$22,INDEX('Diagnostique lab'!$C$5:$C$14,SMALL(IF(labstage=2,IF(labstatus=1,ROW(labstatus)-ROW('Diagnostique lab'!$F$5)+1)),ROWS(I$20:I21))),"")</f>
        <v>Mécanismes et capacités pour la collecte et le transport échantillon ont été établis</v>
      </c>
      <c r="J21" s="53">
        <f>SUMPRODUCT((iecstage=2)*(iecstatus=0))</f>
        <v>2</v>
      </c>
      <c r="K21" s="133" t="str">
        <f t="array" ref="K21">IF(ROWS(K$20:K21)&lt;=$J$21,INDEX(IEC!$C$5:$C$22,SMALL(IF(iecstage=2,IF(iecstatus=0,ROW(iecstatus)-ROW(IEC!$E$5)+1)),ROWS(K$20:K21))),"")</f>
        <v>Des campagnes de sensibilisation sont dirigées et adaptées à des groupes cibles spécifiques</v>
      </c>
      <c r="L21" s="86" t="str">
        <f t="array" ref="L21">IF(ROWS(L$20:L21)&lt;=$J$22,INDEX(IEC!$C$5:$C$22,SMALL(IF(iecstage=2,IF(iecstatus=1,ROW(iecstatus)-ROW(IEC!$E$5)+1)),ROWS(L$20:L21))),"")</f>
        <v>La formation du personnel médical et vétérinaire a été poursuivi</v>
      </c>
      <c r="M21" s="57">
        <f>SUMPRODUCT((prevstage=2)*(prevstatus=0))</f>
        <v>1</v>
      </c>
      <c r="N21" s="137" t="str">
        <f t="array" ref="N21">IF(ROWS(N$20:N21)&lt;=$M$21,INDEX('Prev &amp; Ctrl'!$C$5:$C$29,SMALL(IF(prevstage=2,IF(prevstatus=0,ROW(prevstatus)-ROW('Prev &amp; Ctrl'!$E$5)+1)),ROWS(N$20:N21))),"")</f>
        <v/>
      </c>
      <c r="O21" s="52" t="str">
        <f t="array" ref="O21">IF(ROWS(O$20:O21)&lt;=$M$22,INDEX('Prev &amp; Ctrl'!$C$5:$C$29,SMALL(IF(prevstage=2,IF(prevstatus=1,ROW(prevstatus)-ROW('Prev &amp; Ctrl'!$E$5)+1)),ROWS(O$20:O21))),"")</f>
        <v>Abandon des vaccins produits sur tissus animaux</v>
      </c>
      <c r="P21" s="53">
        <f>SUMPRODUCT((dogstage=2)*(dogstatus=0))</f>
        <v>0</v>
      </c>
      <c r="Q21" s="133" t="str">
        <f t="array" ref="Q21">IF(ROWS(Q$20:Q21)&lt;=$P$21,INDEX('Dog popn'!$C$5:C22,SMALL(IF(dogstage=2,IF(dogstatus=0,ROW(dogstatus)-ROW('Dog popn'!$E$5)+1)),ROWS(Q$20:Q21))),"")</f>
        <v/>
      </c>
      <c r="R21" s="86" t="str">
        <f t="array" ref="R21">IF(ROWS(R$20:R21)&lt;=$P$21,INDEX('Dog popn'!$C$5:$C$7,SMALL(IF(dogstage=2,IF(dogstatus=1,ROW(dogstatus)-ROW('Dog popn'!$E$5)+1)),ROWS(R$20:R21))),"")</f>
        <v/>
      </c>
      <c r="S21" s="53">
        <f>SUMPRODUCT((crossstage=2)*(crossstatus=0))</f>
        <v>4</v>
      </c>
      <c r="T21" s="137" t="str">
        <f t="array" ref="T21">IF(ROWS(T$20:T21)&lt;=$S$21,INDEX('Questions transversales'!$C$5:$C$19,SMALL(IF(crossstage=2,IF(crossstatus=0,ROW(crossstatus)-ROW('Questions transversales'!$E$5)+1)),ROWS(T$20:T21))),"")</f>
        <v xml:space="preserve">Rôle du secteur privé a été expliqué plus en détail </v>
      </c>
      <c r="U21" s="52" t="str">
        <f t="array" ref="U21">IF(ROWS(U$20:U21)&lt;=$S$22,INDEX('Questions transversales'!$C$5:$C$19,SMALL(IF(crossstage=2,IF(crossstatus=1,ROW(crossstatus)-ROW('Questions transversales'!$E$5)+1)),ROWS(U$20:U21))),"")</f>
        <v/>
      </c>
    </row>
    <row r="22" spans="1:21" s="51" customFormat="1" ht="98">
      <c r="A22" s="143">
        <f>SUMPRODUCT((STAGE=2)*(STATUS=1))</f>
        <v>3</v>
      </c>
      <c r="B22" s="133" t="str">
        <f t="array" ref="B22">IF(ROWS(B$20:B22)&lt;=$A$21,INDEX(Legislation!$C$5:$C$16,SMALL(IF(STAGE=2,IF(STATUS=0,ROW(STATUS)-ROW(Legislation!$E$5)+1)),ROWS(B$20:B22))),"")</f>
        <v/>
      </c>
      <c r="C22" s="86" t="str">
        <f t="array" ref="C22">IF(ROWS(C$20:C22)&lt;=$A$22,INDEX(Legislation!$C$5:$C$16,SMALL(IF(STAGE=2,IF(STATUS=1,ROW(STATUS)-ROW(Legislation!$E$5)+1)),ROWS(C$20:C22))),"")</f>
        <v>Les cadres légal sont en train d'être mis à jour pour inclure des spécifications sur les mouvements internationaux d'animaux , de préférence vaccination obligatoire des chiens aussi</v>
      </c>
      <c r="D22" s="62">
        <f>SUMPRODUCT((datastage=2)*(datastatus=1))</f>
        <v>0</v>
      </c>
      <c r="E22" s="133" t="str">
        <f t="array" ref="E22">IF(ROWS(E$20:E22)&lt;=$D$21,INDEX('Data coll &amp; ax'!$C$5:$C$13,SMALL(IF(datastage=2,IF(datastatus=0,ROW(datastatus)-ROW('Data coll &amp; ax'!$E$5)+1)),ROWS(E$20:E22))),"")</f>
        <v xml:space="preserve">Une collection de données économiques de la santé sur le contrôle de la rage, une disponibilité de certaines données économiques sur la santé au niveau local ou national pour faire le point sur l’investissement pour le contrôle de la rage </v>
      </c>
      <c r="F22" s="86" t="str">
        <f t="array" ref="F22">IF(ROWS(F$20:F22)&lt;=$D$22,INDEX('Data coll &amp; ax'!$C$5:$C$13,SMALL(IF(datastage=2,IF(datastatus=1,ROW(datastatus)-ROW('Data coll &amp; ax'!$E$5)+1)),ROWS(F$20:F22))),"")</f>
        <v/>
      </c>
      <c r="G22" s="53">
        <f>SUMPRODUCT((labstage=2)*(labstatus=1))</f>
        <v>2</v>
      </c>
      <c r="H22" s="137" t="str">
        <f t="array" ref="H22">IF(ROWS(H$20:H22)&lt;=$G$21,INDEX('Diagnostique lab'!$C$5:$C$14,SMALL(IF(labstage=2,IF(labstatus=0,ROW(labstatus)-ROW('Diagnostique lab'!$E$5)+1)),ROWS(H$20:H22))),"")</f>
        <v/>
      </c>
      <c r="I22" s="52" t="str">
        <f t="array" ref="I22">IF(ROWS(I$20:I22)&lt;=$G$22,INDEX('Diagnostique lab'!$C$5:$C$14,SMALL(IF(labstage=2,IF(labstatus=1,ROW(labstatus)-ROW('Diagnostique lab'!$F$5)+1)),ROWS(I$20:I22))),"")</f>
        <v/>
      </c>
      <c r="J22" s="53">
        <f>SUMPRODUCT((iecstage=2)*(iecstatus=1))</f>
        <v>2</v>
      </c>
      <c r="K22" s="133" t="str">
        <f t="array" ref="K22">IF(ROWS(K$20:K22)&lt;=$J$21,INDEX(IEC!$C$5:$C$22,SMALL(IF(iecstage=2,IF(iecstatus=0,ROW(iecstatus)-ROW(IEC!$E$5)+1)),ROWS(K$20:K22))),"")</f>
        <v/>
      </c>
      <c r="L22" s="86" t="str">
        <f t="array" ref="L22">IF(ROWS(L$20:L22)&lt;=$J$22,INDEX(IEC!$C$5:$C$22,SMALL(IF(iecstage=2,IF(iecstatus=1,ROW(iecstatus)-ROW(IEC!$E$5)+1)),ROWS(L$20:L22))),"")</f>
        <v/>
      </c>
      <c r="M22" s="57">
        <f>SUMPRODUCT((prevstage=2)*(prevstatus=1))</f>
        <v>5</v>
      </c>
      <c r="N22" s="137" t="str">
        <f t="array" ref="N22">IF(ROWS(N$20:N22)&lt;=$M$21,INDEX('Prev &amp; Ctrl'!$C$5:$C$29,SMALL(IF(prevstage=2,IF(prevstatus=0,ROW(prevstatus)-ROW('Prev &amp; Ctrl'!$E$5)+1)),ROWS(N$20:N22))),"")</f>
        <v/>
      </c>
      <c r="O22" s="52" t="str">
        <f t="array" ref="O22">IF(ROWS(O$20:O22)&lt;=$M$22,INDEX('Prev &amp; Ctrl'!$C$5:$C$29,SMALL(IF(prevstage=2,IF(prevstatus=1,ROW(prevstatus)-ROW('Prev &amp; Ctrl'!$E$5)+1)),ROWS(O$20:O22))),"")</f>
        <v>Seuls les vaccins pour chiens de qualité , conformément aux normes de l'OIE sont utilisées</v>
      </c>
      <c r="P22" s="53">
        <f>SUMPRODUCT((dogstage=2)*(dogstatus=1))</f>
        <v>0</v>
      </c>
      <c r="Q22" s="133" t="str">
        <f t="array" ref="Q22">IF(ROWS(Q$20:Q22)&lt;=$P$21,INDEX('Dog popn'!$C$5:C23,SMALL(IF(dogstage=2,IF(dogstatus=0,ROW(dogstatus)-ROW('Dog popn'!$E$5)+1)),ROWS(Q$20:Q22))),"")</f>
        <v/>
      </c>
      <c r="R22" s="86" t="str">
        <f t="array" ref="R22">IF(ROWS(R$20:R22)&lt;=$P$21,INDEX('Dog popn'!$C$5:$C$7,SMALL(IF(dogstage=2,IF(dogstatus=1,ROW(dogstatus)-ROW('Dog popn'!$E$5)+1)),ROWS(R$20:R22))),"")</f>
        <v/>
      </c>
      <c r="S22" s="53">
        <f>SUMPRODUCT((crossstage=2)*(crossstatus=1))</f>
        <v>0</v>
      </c>
      <c r="T22" s="137" t="str">
        <f t="array" ref="T22">IF(ROWS(T$20:T22)&lt;=$S$21,INDEX('Questions transversales'!$C$5:$C$19,SMALL(IF(crossstage=2,IF(crossstatus=0,ROW(crossstatus)-ROW('Questions transversales'!$E$5)+1)),ROWS(T$20:T22))),"")</f>
        <v xml:space="preserve">Un programme national intersectoriel et une stratégie pour la prevention, le contrôle et l’élimination de la rage ont été rédigés et partagés avec toutes les parties concernées </v>
      </c>
      <c r="U22" s="52" t="str">
        <f t="array" ref="U22">IF(ROWS(U$20:U22)&lt;=$S$22,INDEX('Questions transversales'!$C$5:$C$19,SMALL(IF(crossstage=2,IF(crossstatus=1,ROW(crossstatus)-ROW('Questions transversales'!$E$5)+1)),ROWS(U$20:U22))),"")</f>
        <v/>
      </c>
    </row>
    <row r="23" spans="1:21" s="51" customFormat="1" ht="56">
      <c r="A23" s="144"/>
      <c r="B23" s="133" t="str">
        <f t="array" ref="B23">IF(ROWS(B$20:B23)&lt;=$A$21,INDEX(Legislation!$C$5:$C$16,SMALL(IF(STAGE=2,IF(STATUS=0,ROW(STATUS)-ROW(Legislation!$E$5)+1)),ROWS(B$20:B23))),"")</f>
        <v/>
      </c>
      <c r="C23" s="86" t="str">
        <f t="array" ref="C23">IF(ROWS(C$20:C23)&lt;=$A$22,INDEX(Legislation!$C$5:$C$16,SMALL(IF(STAGE=2,IF(STATUS=1,ROW(STATUS)-ROW(Legislation!$E$5)+1)),ROWS(C$20:C23))),"")</f>
        <v/>
      </c>
      <c r="D23" s="62"/>
      <c r="E23" s="133" t="str">
        <f t="array" ref="E23">IF(ROWS(E$20:E23)&lt;=$D$21,INDEX('Data coll &amp; ax'!$C$5:$C$13,SMALL(IF(datastage=2,IF(datastatus=0,ROW(datastatus)-ROW('Data coll &amp; ax'!$E$5)+1)),ROWS(E$20:E23))),"")</f>
        <v/>
      </c>
      <c r="F23" s="86" t="str">
        <f t="array" ref="F23">IF(ROWS(F$20:F23)&lt;=$D$22,INDEX('Data coll &amp; ax'!$C$5:$C$13,SMALL(IF(datastage=2,IF(datastatus=1,ROW(datastatus)-ROW('Data coll &amp; ax'!$E$5)+1)),ROWS(F$20:F23))),"")</f>
        <v/>
      </c>
      <c r="G23" s="53"/>
      <c r="H23" s="137" t="str">
        <f t="array" ref="H23">IF(ROWS(H$20:H23)&lt;=$G$21,INDEX('Diagnostique lab'!$C$5:$C$14,SMALL(IF(labstage=2,IF(labstatus=0,ROW(labstatus)-ROW('Diagnostique lab'!$E$5)+1)),ROWS(H$20:H23))),"")</f>
        <v/>
      </c>
      <c r="I23" s="52" t="str">
        <f t="array" ref="I23">IF(ROWS(I$20:I23)&lt;=$G$22,INDEX('Diagnostique lab'!$C$5:$C$14,SMALL(IF(labstage=2,IF(labstatus=1,ROW(labstatus)-ROW('Diagnostique lab'!$F$5)+1)),ROWS(I$20:I23))),"")</f>
        <v/>
      </c>
      <c r="J23" s="53"/>
      <c r="K23" s="133" t="str">
        <f t="array" ref="K23">IF(ROWS(K$20:K23)&lt;=$J$21,INDEX(IEC!$C$5:$C$22,SMALL(IF(iecstage=2,IF(iecstatus=0,ROW(iecstatus)-ROW(IEC!$E$5)+1)),ROWS(K$20:K23))),"")</f>
        <v/>
      </c>
      <c r="L23" s="86" t="str">
        <f t="array" ref="L23">IF(ROWS(L$20:L23)&lt;=$J$22,INDEX(IEC!$C$5:$C$22,SMALL(IF(iecstage=2,IF(iecstatus=1,ROW(iecstatus)-ROW(IEC!$E$5)+1)),ROWS(L$20:L23))),"")</f>
        <v/>
      </c>
      <c r="M23" s="57"/>
      <c r="N23" s="137" t="str">
        <f t="array" ref="N23">IF(ROWS(N$20:N23)&lt;=$M$21,INDEX('Prev &amp; Ctrl'!$C$5:$C$29,SMALL(IF(prevstage=2,IF(prevstatus=0,ROW(prevstatus)-ROW('Prev &amp; Ctrl'!$E$5)+1)),ROWS(N$20:N23))),"")</f>
        <v/>
      </c>
      <c r="O23" s="52" t="str">
        <f t="array" ref="O23">IF(ROWS(O$20:O23)&lt;=$M$22,INDEX('Prev &amp; Ctrl'!$C$5:$C$29,SMALL(IF(prevstage=2,IF(prevstatus=1,ROW(prevstatus)-ROW('Prev &amp; Ctrl'!$E$5)+1)),ROWS(O$20:O23))),"")</f>
        <v>Des campagnes de vaccination de chiens sont régulièrement mises en œuvre en réponse à des cas humains et des flambées animales</v>
      </c>
      <c r="P23" s="53"/>
      <c r="Q23" s="133" t="str">
        <f t="array" ref="Q23">IF(ROWS(Q$20:Q23)&lt;=$P$21,INDEX('Dog popn'!$C$5:C24,SMALL(IF(dogstage=2,IF(dogstatus=0,ROW(dogstatus)-ROW('Dog popn'!$E$5)+1)),ROWS(Q$20:Q23))),"")</f>
        <v/>
      </c>
      <c r="R23" s="86" t="str">
        <f t="array" ref="R23">IF(ROWS(R$20:R23)&lt;=$P$21,INDEX('Dog popn'!$C$5:$C$7,SMALL(IF(dogstage=2,IF(dogstatus=1,ROW(dogstatus)-ROW('Dog popn'!$E$5)+1)),ROWS(R$20:R23))),"")</f>
        <v/>
      </c>
      <c r="S23" s="53"/>
      <c r="T23" s="137" t="str">
        <f t="array" ref="T23">IF(ROWS(T$20:T23)&lt;=$S$21,INDEX('Questions transversales'!$C$5:$C$19,SMALL(IF(crossstage=2,IF(crossstatus=0,ROW(crossstatus)-ROW('Questions transversales'!$E$5)+1)),ROWS(T$20:T23))),"")</f>
        <v xml:space="preserve">Des ressources gouvernementales sont identifies et attribuées au contrôle de la rage </v>
      </c>
      <c r="U23" s="52" t="str">
        <f t="array" ref="U23">IF(ROWS(U$20:U23)&lt;=$S$22,INDEX('Questions transversales'!$C$5:$C$19,SMALL(IF(crossstage=2,IF(crossstatus=1,ROW(crossstatus)-ROW('Questions transversales'!$E$5)+1)),ROWS(U$20:U23))),"")</f>
        <v/>
      </c>
    </row>
    <row r="24" spans="1:21" s="51" customFormat="1" ht="42">
      <c r="A24" s="144"/>
      <c r="B24" s="133" t="str">
        <f t="array" ref="B24">IF(ROWS(B$20:B24)&lt;=$A$21,INDEX(Legislation!$C$5:$C$16,SMALL(IF(STAGE=2,IF(STATUS=0,ROW(STATUS)-ROW(Legislation!$E$5)+1)),ROWS(B$20:B24))),"")</f>
        <v/>
      </c>
      <c r="C24" s="86" t="str">
        <f t="array" ref="C24">IF(ROWS(C$20:C24)&lt;=$A$22,INDEX(Legislation!$C$5:$C$16,SMALL(IF(STAGE=2,IF(STATUS=1,ROW(STATUS)-ROW(Legislation!$E$5)+1)),ROWS(C$20:C24))),"")</f>
        <v/>
      </c>
      <c r="D24" s="62"/>
      <c r="E24" s="133" t="str">
        <f t="array" ref="E24">IF(ROWS(E$20:E24)&lt;=$D$21,INDEX('Data coll &amp; ax'!$C$5:$C$13,SMALL(IF(datastage=2,IF(datastatus=0,ROW(datastatus)-ROW('Data coll &amp; ax'!$E$5)+1)),ROWS(E$20:E24))),"")</f>
        <v/>
      </c>
      <c r="F24" s="86" t="str">
        <f t="array" ref="F24">IF(ROWS(F$20:F24)&lt;=$D$22,INDEX('Data coll &amp; ax'!$C$5:$C$13,SMALL(IF(datastage=2,IF(datastatus=1,ROW(datastatus)-ROW('Data coll &amp; ax'!$E$5)+1)),ROWS(F$20:F24))),"")</f>
        <v/>
      </c>
      <c r="G24" s="53"/>
      <c r="H24" s="137" t="str">
        <f t="array" ref="H24">IF(ROWS(H$20:H24)&lt;=$G$21,INDEX('Diagnostique lab'!$C$5:$C$14,SMALL(IF(labstage=2,IF(labstatus=0,ROW(labstatus)-ROW('Diagnostique lab'!$E$5)+1)),ROWS(H$20:H24))),"")</f>
        <v/>
      </c>
      <c r="I24" s="52" t="str">
        <f t="array" ref="I24">IF(ROWS(I$20:I24)&lt;=$G$22,INDEX('Diagnostique lab'!$C$5:$C$14,SMALL(IF(labstage=2,IF(labstatus=1,ROW(labstatus)-ROW('Diagnostique lab'!$F$5)+1)),ROWS(I$20:I24))),"")</f>
        <v/>
      </c>
      <c r="J24" s="53"/>
      <c r="K24" s="133" t="str">
        <f t="array" ref="K24">IF(ROWS(K$20:K24)&lt;=$J$21,INDEX(IEC!$C$5:$C$22,SMALL(IF(iecstage=2,IF(iecstatus=0,ROW(iecstatus)-ROW(IEC!$E$5)+1)),ROWS(K$20:K24))),"")</f>
        <v/>
      </c>
      <c r="L24" s="86" t="str">
        <f t="array" ref="L24">IF(ROWS(L$20:L24)&lt;=$J$22,INDEX(IEC!$C$5:$C$22,SMALL(IF(iecstage=2,IF(iecstatus=1,ROW(iecstatus)-ROW(IEC!$E$5)+1)),ROWS(L$20:L24))),"")</f>
        <v/>
      </c>
      <c r="M24" s="57"/>
      <c r="N24" s="137" t="str">
        <f t="array" ref="N24">IF(ROWS(N$20:N24)&lt;=$M$21,INDEX('Prev &amp; Ctrl'!$C$5:$C$29,SMALL(IF(prevstage=2,IF(prevstatus=0,ROW(prevstatus)-ROW('Prev &amp; Ctrl'!$E$5)+1)),ROWS(N$20:N24))),"")</f>
        <v/>
      </c>
      <c r="O24" s="52" t="str">
        <f t="array" ref="O24">IF(ROWS(O$20:O24)&lt;=$M$22,INDEX('Prev &amp; Ctrl'!$C$5:$C$29,SMALL(IF(prevstage=2,IF(prevstatus=1,ROW(prevstatus)-ROW('Prev &amp; Ctrl'!$E$5)+1)),ROWS(O$20:O24))),"")</f>
        <v>Protocoles pour l'observation des chiens impliqués dans les incidents de morsure disponibles</v>
      </c>
      <c r="P24" s="53"/>
      <c r="Q24" s="133" t="str">
        <f t="array" ref="Q24">IF(ROWS(Q$20:Q24)&lt;=$P$21,INDEX('Dog popn'!$C$5:C25,SMALL(IF(dogstage=2,IF(dogstatus=0,ROW(dogstatus)-ROW('Dog popn'!$E$5)+1)),ROWS(Q$20:Q24))),"")</f>
        <v/>
      </c>
      <c r="R24" s="86" t="str">
        <f t="array" ref="R24">IF(ROWS(R$20:R24)&lt;=$P$21,INDEX('Dog popn'!$C$5:$C$7,SMALL(IF(dogstage=2,IF(dogstatus=1,ROW(dogstatus)-ROW('Dog popn'!$E$5)+1)),ROWS(R$20:R24))),"")</f>
        <v/>
      </c>
      <c r="S24" s="53"/>
      <c r="T24" s="137" t="str">
        <f t="array" ref="T24">IF(ROWS(T$20:T24)&lt;=$S$21,INDEX('Questions transversales'!$C$5:$C$19,SMALL(IF(crossstage=2,IF(crossstatus=0,ROW(crossstatus)-ROW('Questions transversales'!$E$5)+1)),ROWS(T$20:T24))),"")</f>
        <v/>
      </c>
      <c r="U24" s="52" t="str">
        <f t="array" ref="U24">IF(ROWS(U$20:U24)&lt;=$S$22,INDEX('Questions transversales'!$C$5:$C$19,SMALL(IF(crossstage=2,IF(crossstatus=1,ROW(crossstatus)-ROW('Questions transversales'!$E$5)+1)),ROWS(U$20:U24))),"")</f>
        <v/>
      </c>
    </row>
    <row r="25" spans="1:21" s="51" customFormat="1">
      <c r="A25" s="144"/>
      <c r="B25" s="133" t="str">
        <f t="array" ref="B25">IF(ROWS(B$20:B25)&lt;=$A$21,INDEX(Legislation!$C$5:$C$16,SMALL(IF(STAGE=2,IF(STATUS=0,ROW(STATUS)-ROW(Legislation!$E$5)+1)),ROWS(B$20:B25))),"")</f>
        <v/>
      </c>
      <c r="C25" s="86" t="str">
        <f t="array" ref="C25">IF(ROWS(C$20:C25)&lt;=$A$22,INDEX(Legislation!$C$5:$C$16,SMALL(IF(STAGE=2,IF(STATUS=1,ROW(STATUS)-ROW(Legislation!$E$5)+1)),ROWS(C$20:C25))),"")</f>
        <v/>
      </c>
      <c r="D25" s="62"/>
      <c r="E25" s="133" t="str">
        <f t="array" ref="E25">IF(ROWS(E$20:E25)&lt;=$D$21,INDEX('Data coll &amp; ax'!$C$5:$C$13,SMALL(IF(datastage=2,IF(datastatus=0,ROW(datastatus)-ROW('Data coll &amp; ax'!$E$5)+1)),ROWS(E$20:E25))),"")</f>
        <v/>
      </c>
      <c r="F25" s="86" t="str">
        <f t="array" ref="F25">IF(ROWS(F$20:F25)&lt;=$D$22,INDEX('Data coll &amp; ax'!$C$5:$C$13,SMALL(IF(datastage=2,IF(datastatus=1,ROW(datastatus)-ROW('Data coll &amp; ax'!$E$5)+1)),ROWS(F$20:F25))),"")</f>
        <v/>
      </c>
      <c r="G25" s="53"/>
      <c r="H25" s="137" t="str">
        <f t="array" ref="H25">IF(ROWS(H$20:H25)&lt;=$G$21,INDEX('Diagnostique lab'!$C$5:$C$14,SMALL(IF(labstage=2,IF(labstatus=0,ROW(labstatus)-ROW('Diagnostique lab'!$E$5)+1)),ROWS(H$20:H25))),"")</f>
        <v/>
      </c>
      <c r="I25" s="52" t="str">
        <f t="array" ref="I25">IF(ROWS(I$20:I25)&lt;=$G$22,INDEX('Diagnostique lab'!$C$5:$C$14,SMALL(IF(labstage=2,IF(labstatus=1,ROW(labstatus)-ROW('Diagnostique lab'!$F$5)+1)),ROWS(I$20:I25))),"")</f>
        <v/>
      </c>
      <c r="J25" s="53"/>
      <c r="K25" s="133" t="str">
        <f t="array" ref="K25">IF(ROWS(K$20:K25)&lt;=$J$21,INDEX(IEC!$C$5:$C$22,SMALL(IF(iecstage=2,IF(iecstatus=0,ROW(iecstatus)-ROW(IEC!$E$5)+1)),ROWS(K$20:K25))),"")</f>
        <v/>
      </c>
      <c r="L25" s="86" t="str">
        <f t="array" ref="L25">IF(ROWS(L$20:L25)&lt;=$J$22,INDEX(IEC!$C$5:$C$22,SMALL(IF(iecstage=2,IF(iecstatus=1,ROW(iecstatus)-ROW(IEC!$E$5)+1)),ROWS(L$20:L25))),"")</f>
        <v/>
      </c>
      <c r="M25" s="57"/>
      <c r="N25" s="137" t="str">
        <f t="array" ref="N25">IF(ROWS(N$20:N25)&lt;=$M$21,INDEX('Prev &amp; Ctrl'!$C$5:$C$29,SMALL(IF(prevstage=2,IF(prevstatus=0,ROW(prevstatus)-ROW('Prev &amp; Ctrl'!$E$5)+1)),ROWS(N$20:N25))),"")</f>
        <v/>
      </c>
      <c r="O25" s="52" t="str">
        <f t="array" ref="O25">IF(ROWS(O$20:O25)&lt;=$M$22,INDEX('Prev &amp; Ctrl'!$C$5:$C$29,SMALL(IF(prevstage=2,IF(prevstatus=1,ROW(prevstatus)-ROW('Prev &amp; Ctrl'!$E$5)+1)),ROWS(O$20:O25))),"")</f>
        <v/>
      </c>
      <c r="P25" s="53"/>
      <c r="Q25" s="133" t="str">
        <f t="array" ref="Q25">IF(ROWS(Q$20:Q25)&lt;=$P$21,INDEX('Dog popn'!$C$5:C26,SMALL(IF(dogstage=2,IF(dogstatus=0,ROW(dogstatus)-ROW('Dog popn'!$E$5)+1)),ROWS(Q$20:Q25))),"")</f>
        <v/>
      </c>
      <c r="R25" s="86" t="str">
        <f t="array" ref="R25">IF(ROWS(R$20:R25)&lt;=$P$21,INDEX('Dog popn'!$C$5:$C$7,SMALL(IF(dogstage=2,IF(dogstatus=1,ROW(dogstatus)-ROW('Dog popn'!$E$5)+1)),ROWS(R$20:R25))),"")</f>
        <v/>
      </c>
      <c r="S25" s="53"/>
      <c r="T25" s="137" t="str">
        <f t="array" ref="T25">IF(ROWS(T$20:T25)&lt;=$S$21,INDEX('Questions transversales'!$C$5:$C$19,SMALL(IF(crossstage=2,IF(crossstatus=0,ROW(crossstatus)-ROW('Questions transversales'!$E$5)+1)),ROWS(T$20:T25))),"")</f>
        <v/>
      </c>
      <c r="U25" s="52" t="str">
        <f t="array" ref="U25">IF(ROWS(U$20:U25)&lt;=$S$22,INDEX('Questions transversales'!$C$5:$C$19,SMALL(IF(crossstage=2,IF(crossstatus=1,ROW(crossstatus)-ROW('Questions transversales'!$E$5)+1)),ROWS(U$20:U25))),"")</f>
        <v/>
      </c>
    </row>
    <row r="26" spans="1:21" s="51" customFormat="1">
      <c r="A26" s="144"/>
      <c r="B26" s="133" t="str">
        <f t="array" ref="B26">IF(ROWS(B$20:B26)&lt;=$A$21,INDEX(Legislation!$C$5:$C$16,SMALL(IF(STAGE=2,IF(STATUS=0,ROW(STATUS)-ROW(Legislation!$E$5)+1)),ROWS(B$20:B26))),"")</f>
        <v/>
      </c>
      <c r="C26" s="86" t="str">
        <f t="array" ref="C26">IF(ROWS(C$20:C26)&lt;=$A$22,INDEX(Legislation!$C$5:$C$16,SMALL(IF(STAGE=2,IF(STATUS=1,ROW(STATUS)-ROW(Legislation!$E$5)+1)),ROWS(C$20:C26))),"")</f>
        <v/>
      </c>
      <c r="D26" s="62"/>
      <c r="E26" s="133" t="str">
        <f t="array" ref="E26">IF(ROWS(E$20:E26)&lt;=$D$21,INDEX('Data coll &amp; ax'!$C$5:$C$13,SMALL(IF(datastage=2,IF(datastatus=0,ROW(datastatus)-ROW('Data coll &amp; ax'!$E$5)+1)),ROWS(E$20:E26))),"")</f>
        <v/>
      </c>
      <c r="F26" s="86" t="str">
        <f t="array" ref="F26">IF(ROWS(F$20:F26)&lt;=$D$22,INDEX('Data coll &amp; ax'!$C$5:$C$13,SMALL(IF(datastage=2,IF(datastatus=1,ROW(datastatus)-ROW('Data coll &amp; ax'!$E$5)+1)),ROWS(F$20:F26))),"")</f>
        <v/>
      </c>
      <c r="G26" s="53"/>
      <c r="H26" s="137" t="str">
        <f t="array" ref="H26">IF(ROWS(H$20:H26)&lt;=$G$21,INDEX('Diagnostique lab'!$C$5:$C$14,SMALL(IF(labstage=2,IF(labstatus=0,ROW(labstatus)-ROW('Diagnostique lab'!$E$5)+1)),ROWS(H$20:H26))),"")</f>
        <v/>
      </c>
      <c r="I26" s="52" t="str">
        <f t="array" ref="I26">IF(ROWS(I$20:I26)&lt;=$G$22,INDEX('Diagnostique lab'!$C$5:$C$14,SMALL(IF(labstage=2,IF(labstatus=1,ROW(labstatus)-ROW('Diagnostique lab'!$F$5)+1)),ROWS(I$20:I26))),"")</f>
        <v/>
      </c>
      <c r="J26" s="53"/>
      <c r="K26" s="133" t="str">
        <f t="array" ref="K26">IF(ROWS(K$20:K26)&lt;=$J$21,INDEX(IEC!$C$5:$C$22,SMALL(IF(iecstage=2,IF(iecstatus=0,ROW(iecstatus)-ROW(IEC!$E$5)+1)),ROWS(K$20:K26))),"")</f>
        <v/>
      </c>
      <c r="L26" s="86" t="str">
        <f t="array" ref="L26">IF(ROWS(L$20:L26)&lt;=$J$22,INDEX(IEC!$C$5:$C$22,SMALL(IF(iecstage=2,IF(iecstatus=1,ROW(iecstatus)-ROW(IEC!$E$5)+1)),ROWS(L$20:L26))),"")</f>
        <v/>
      </c>
      <c r="M26" s="57"/>
      <c r="N26" s="137" t="str">
        <f t="array" ref="N26">IF(ROWS(N$20:N26)&lt;=$M$21,INDEX('Prev &amp; Ctrl'!$C$5:$C$29,SMALL(IF(prevstage=2,IF(prevstatus=0,ROW(prevstatus)-ROW('Prev &amp; Ctrl'!$E$5)+1)),ROWS(N$20:N26))),"")</f>
        <v/>
      </c>
      <c r="O26" s="52" t="str">
        <f t="array" ref="O26">IF(ROWS(O$20:O26)&lt;=$M$22,INDEX('Prev &amp; Ctrl'!$C$5:$C$29,SMALL(IF(prevstage=2,IF(prevstatus=1,ROW(prevstatus)-ROW('Prev &amp; Ctrl'!$E$5)+1)),ROWS(O$20:O26))),"")</f>
        <v/>
      </c>
      <c r="P26" s="53"/>
      <c r="Q26" s="133" t="str">
        <f t="array" ref="Q26">IF(ROWS(Q$20:Q26)&lt;=$P$21,INDEX('Dog popn'!$C$5:C27,SMALL(IF(dogstage=2,IF(dogstatus=0,ROW(dogstatus)-ROW('Dog popn'!$E$5)+1)),ROWS(Q$20:Q26))),"")</f>
        <v/>
      </c>
      <c r="R26" s="86" t="str">
        <f t="array" ref="R26">IF(ROWS(R$20:R26)&lt;=$P$21,INDEX('Dog popn'!$C$5:$C$7,SMALL(IF(dogstage=2,IF(dogstatus=1,ROW(dogstatus)-ROW('Dog popn'!$E$5)+1)),ROWS(R$20:R26))),"")</f>
        <v/>
      </c>
      <c r="S26" s="53"/>
      <c r="T26" s="137" t="str">
        <f t="array" ref="T26">IF(ROWS(T$20:T26)&lt;=$S$21,INDEX('Questions transversales'!$C$5:$C$19,SMALL(IF(crossstage=2,IF(crossstatus=0,ROW(crossstatus)-ROW('Questions transversales'!$E$5)+1)),ROWS(T$20:T26))),"")</f>
        <v/>
      </c>
      <c r="U26" s="52" t="str">
        <f t="array" ref="U26">IF(ROWS(U$20:U26)&lt;=$S$22,INDEX('Questions transversales'!$C$5:$C$19,SMALL(IF(crossstage=2,IF(crossstatus=1,ROW(crossstatus)-ROW('Questions transversales'!$E$5)+1)),ROWS(U$20:U26))),"")</f>
        <v/>
      </c>
    </row>
    <row r="27" spans="1:21" s="51" customFormat="1">
      <c r="A27" s="144"/>
      <c r="B27" s="133" t="str">
        <f t="array" ref="B27">IF(ROWS(B$20:B27)&lt;=$A$21,INDEX(Legislation!$C$5:$C$16,SMALL(IF(STAGE=2,IF(STATUS=0,ROW(STATUS)-ROW(Legislation!$E$5)+1)),ROWS(B$20:B27))),"")</f>
        <v/>
      </c>
      <c r="C27" s="86" t="str">
        <f t="array" ref="C27">IF(ROWS(C$20:C27)&lt;=$A$22,INDEX(Legislation!$C$5:$C$16,SMALL(IF(STAGE=2,IF(STATUS=1,ROW(STATUS)-ROW(Legislation!$E$5)+1)),ROWS(C$20:C27))),"")</f>
        <v/>
      </c>
      <c r="D27" s="62"/>
      <c r="E27" s="133" t="str">
        <f t="array" ref="E27">IF(ROWS(E$20:E27)&lt;=$D$21,INDEX('Data coll &amp; ax'!$C$5:$C$13,SMALL(IF(datastage=2,IF(datastatus=0,ROW(datastatus)-ROW('Data coll &amp; ax'!$E$5)+1)),ROWS(E$20:E27))),"")</f>
        <v/>
      </c>
      <c r="F27" s="86" t="str">
        <f t="array" ref="F27">IF(ROWS(F$20:F27)&lt;=$D$22,INDEX('Data coll &amp; ax'!$C$5:$C$13,SMALL(IF(datastage=2,IF(datastatus=1,ROW(datastatus)-ROW('Data coll &amp; ax'!$E$5)+1)),ROWS(F$20:F27))),"")</f>
        <v/>
      </c>
      <c r="G27" s="53"/>
      <c r="H27" s="137" t="str">
        <f t="array" ref="H27">IF(ROWS(H$20:H27)&lt;=$G$21,INDEX('Diagnostique lab'!$C$5:$C$14,SMALL(IF(labstage=2,IF(labstatus=0,ROW(labstatus)-ROW('Diagnostique lab'!$E$5)+1)),ROWS(H$20:H27))),"")</f>
        <v/>
      </c>
      <c r="I27" s="52" t="str">
        <f t="array" ref="I27">IF(ROWS(I$20:I27)&lt;=$G$22,INDEX('Diagnostique lab'!$C$5:$C$14,SMALL(IF(labstage=2,IF(labstatus=1,ROW(labstatus)-ROW('Diagnostique lab'!$F$5)+1)),ROWS(I$20:I27))),"")</f>
        <v/>
      </c>
      <c r="J27" s="53"/>
      <c r="K27" s="133" t="str">
        <f t="array" ref="K27">IF(ROWS(K$20:K27)&lt;=$J$21,INDEX(IEC!$C$5:$C$22,SMALL(IF(iecstage=2,IF(iecstatus=0,ROW(iecstatus)-ROW(IEC!$E$5)+1)),ROWS(K$20:K27))),"")</f>
        <v/>
      </c>
      <c r="L27" s="86" t="str">
        <f t="array" ref="L27">IF(ROWS(L$20:L27)&lt;=$J$22,INDEX(IEC!$C$5:$C$22,SMALL(IF(iecstage=2,IF(iecstatus=1,ROW(iecstatus)-ROW(IEC!$E$5)+1)),ROWS(L$20:L27))),"")</f>
        <v/>
      </c>
      <c r="M27" s="57"/>
      <c r="N27" s="137" t="str">
        <f t="array" ref="N27">IF(ROWS(N$20:N27)&lt;=$M$21,INDEX('Prev &amp; Ctrl'!$C$5:$C$29,SMALL(IF(prevstage=2,IF(prevstatus=0,ROW(prevstatus)-ROW('Prev &amp; Ctrl'!$E$5)+1)),ROWS(N$20:N27))),"")</f>
        <v/>
      </c>
      <c r="O27" s="52" t="str">
        <f t="array" ref="O27">IF(ROWS(O$20:O27)&lt;=$M$22,INDEX('Prev &amp; Ctrl'!$C$5:$C$29,SMALL(IF(prevstage=2,IF(prevstatus=1,ROW(prevstatus)-ROW('Prev &amp; Ctrl'!$E$5)+1)),ROWS(O$20:O27))),"")</f>
        <v/>
      </c>
      <c r="P27" s="53"/>
      <c r="Q27" s="133" t="str">
        <f t="array" ref="Q27">IF(ROWS(Q$20:Q27)&lt;=$P$21,INDEX('Dog popn'!$C$5:C28,SMALL(IF(dogstage=2,IF(dogstatus=0,ROW(dogstatus)-ROW('Dog popn'!$E$5)+1)),ROWS(Q$20:Q27))),"")</f>
        <v/>
      </c>
      <c r="R27" s="86" t="str">
        <f t="array" ref="R27">IF(ROWS(R$20:R27)&lt;=$P$21,INDEX('Dog popn'!$C$5:$C$7,SMALL(IF(dogstage=2,IF(dogstatus=1,ROW(dogstatus)-ROW('Dog popn'!$E$5)+1)),ROWS(R$20:R27))),"")</f>
        <v/>
      </c>
      <c r="S27" s="53"/>
      <c r="T27" s="137" t="str">
        <f t="array" ref="T27">IF(ROWS(T$20:T27)&lt;=$S$21,INDEX('Questions transversales'!$C$5:$C$19,SMALL(IF(crossstage=2,IF(crossstatus=0,ROW(crossstatus)-ROW('Questions transversales'!$E$5)+1)),ROWS(T$20:T27))),"")</f>
        <v/>
      </c>
      <c r="U27" s="52" t="str">
        <f t="array" ref="U27">IF(ROWS(U$20:U27)&lt;=$S$22,INDEX('Questions transversales'!$C$5:$C$19,SMALL(IF(crossstage=2,IF(crossstatus=1,ROW(crossstatus)-ROW('Questions transversales'!$E$5)+1)),ROWS(U$20:U27))),"")</f>
        <v/>
      </c>
    </row>
    <row r="28" spans="1:21" s="51" customFormat="1">
      <c r="A28" s="145"/>
      <c r="B28" s="134" t="str">
        <f t="array" ref="B28">IF(ROWS(B$20:B28)&lt;=$A$21,INDEX(Legislation!$C$5:$C$16,SMALL(IF(STAGE=2,IF(STATUS=0,ROW(STATUS)-ROW(Legislation!$E$5)+1)),ROWS(B$20:B28))),"")</f>
        <v/>
      </c>
      <c r="C28" s="87" t="str">
        <f t="array" ref="C28">IF(ROWS(C$20:C28)&lt;=$A$22,INDEX(Legislation!$C$5:$C$16,SMALL(IF(STAGE=2,IF(STATUS=1,ROW(STATUS)-ROW(Legislation!$E$5)+1)),ROWS(C$20:C28))),"")</f>
        <v/>
      </c>
      <c r="D28" s="63"/>
      <c r="E28" s="134" t="str">
        <f t="array" ref="E28">IF(ROWS(E$20:E28)&lt;=$D$21,INDEX('Data coll &amp; ax'!$C$5:$C$13,SMALL(IF(datastage=2,IF(datastatus=0,ROW(datastatus)-ROW('Data coll &amp; ax'!$E$5)+1)),ROWS(E$20:E28))),"")</f>
        <v/>
      </c>
      <c r="F28" s="87" t="str">
        <f t="array" ref="F28">IF(ROWS(F$20:F28)&lt;=$D$22,INDEX('Data coll &amp; ax'!$C$5:$C$13,SMALL(IF(datastage=2,IF(datastatus=1,ROW(datastatus)-ROW('Data coll &amp; ax'!$E$5)+1)),ROWS(F$20:F28))),"")</f>
        <v/>
      </c>
      <c r="G28" s="55"/>
      <c r="H28" s="138" t="str">
        <f t="array" ref="H28">IF(ROWS(H$20:H28)&lt;=$G$21,INDEX('Diagnostique lab'!$C$5:$C$14,SMALL(IF(labstage=2,IF(labstatus=0,ROW(labstatus)-ROW('Diagnostique lab'!$E$5)+1)),ROWS(H$20:H28))),"")</f>
        <v/>
      </c>
      <c r="I28" s="54" t="str">
        <f t="array" ref="I28">IF(ROWS(I$20:I28)&lt;=$G$22,INDEX('Diagnostique lab'!$C$5:$C$14,SMALL(IF(labstage=2,IF(labstatus=1,ROW(labstatus)-ROW('Diagnostique lab'!$F$5)+1)),ROWS(I$20:I28))),"")</f>
        <v/>
      </c>
      <c r="J28" s="55"/>
      <c r="K28" s="134" t="str">
        <f t="array" ref="K28">IF(ROWS(K$20:K28)&lt;=$J$21,INDEX(IEC!$C$5:$C$22,SMALL(IF(iecstage=2,IF(iecstatus=0,ROW(iecstatus)-ROW(IEC!$E$5)+1)),ROWS(K$20:K28))),"")</f>
        <v/>
      </c>
      <c r="L28" s="87" t="str">
        <f t="array" ref="L28">IF(ROWS(L$20:L28)&lt;=$J$22,INDEX(IEC!$C$5:$C$22,SMALL(IF(iecstage=2,IF(iecstatus=1,ROW(iecstatus)-ROW(IEC!$E$5)+1)),ROWS(L$20:L28))),"")</f>
        <v/>
      </c>
      <c r="M28" s="58"/>
      <c r="N28" s="138" t="str">
        <f t="array" ref="N28">IF(ROWS(N$20:N28)&lt;=$M$21,INDEX('Prev &amp; Ctrl'!$C$5:$C$29,SMALL(IF(prevstage=2,IF(prevstatus=0,ROW(prevstatus)-ROW('Prev &amp; Ctrl'!$E$5)+1)),ROWS(N$20:N28))),"")</f>
        <v/>
      </c>
      <c r="O28" s="54" t="str">
        <f t="array" ref="O28">IF(ROWS(O$20:O28)&lt;=$M$22,INDEX('Prev &amp; Ctrl'!$C$5:$C$29,SMALL(IF(prevstage=2,IF(prevstatus=1,ROW(prevstatus)-ROW('Prev &amp; Ctrl'!$E$5)+1)),ROWS(O$20:O28))),"")</f>
        <v/>
      </c>
      <c r="P28" s="55"/>
      <c r="Q28" s="134" t="str">
        <f t="array" ref="Q28">IF(ROWS(Q$20:Q28)&lt;=$P$21,INDEX('Dog popn'!$C$5:C29,SMALL(IF(dogstage=2,IF(dogstatus=0,ROW(dogstatus)-ROW('Dog popn'!$E$5)+1)),ROWS(Q$20:Q28))),"")</f>
        <v/>
      </c>
      <c r="R28" s="87" t="str">
        <f t="array" ref="R28">IF(ROWS(R$20:R28)&lt;=$P$21,INDEX('Dog popn'!$C$5:$C$7,SMALL(IF(dogstage=2,IF(dogstatus=1,ROW(dogstatus)-ROW('Dog popn'!$E$5)+1)),ROWS(R$20:R28))),"")</f>
        <v/>
      </c>
      <c r="S28" s="55"/>
      <c r="T28" s="138" t="str">
        <f t="array" ref="T28">IF(ROWS(T$20:T28)&lt;=$S$21,INDEX('Questions transversales'!$C$5:$C$19,SMALL(IF(crossstage=2,IF(crossstatus=0,ROW(crossstatus)-ROW('Questions transversales'!$E$5)+1)),ROWS(T$20:T28))),"")</f>
        <v/>
      </c>
      <c r="U28" s="54" t="str">
        <f t="array" ref="U28">IF(ROWS(U$20:U28)&lt;=$S$22,INDEX('Questions transversales'!$C$5:$C$19,SMALL(IF(crossstage=2,IF(crossstatus=1,ROW(crossstatus)-ROW('Questions transversales'!$E$5)+1)),ROWS(U$20:U28))),"")</f>
        <v/>
      </c>
    </row>
    <row r="29" spans="1:21" s="51" customFormat="1" ht="98">
      <c r="A29" s="150">
        <v>3</v>
      </c>
      <c r="B29" s="131" t="str">
        <f t="array" ref="B29">IF(ROWS(B$29:B29)&lt;=$A$30,INDEX(Legislation!$C$5:$C$16,SMALL(IF(STAGE=3,IF(STATUS=0,ROW(STATUS)-ROW(Legislation!$E$5)+1)),ROWS(B$29:B29))),"")</f>
        <v/>
      </c>
      <c r="C29" s="85" t="str">
        <f t="array" ref="C29">IF(ROWS(C$29:C29)&lt;=$A$31,INDEX(Legislation!$C$5:$C$16,SMALL(IF(STAGE=3,IF(STATUS=1,ROW(STATUS)-ROW(Legislation!$E$5)+1)),ROWS(C$29:C29))),"")</f>
        <v/>
      </c>
      <c r="D29" s="61"/>
      <c r="E29" s="133" t="str">
        <f t="array" ref="E29">IF(ROWS(E$29:E29)&lt;=$D$30,INDEX('Data coll &amp; ax'!$C$5:$C$13,SMALL(IF(datastage=3,IF(datastatus=0,ROW(datastatus)-ROW('Data coll &amp; ax'!$E$5)+1)),ROWS(E$29:E29))),"")</f>
        <v>Surveillance vigoureuse est menée</v>
      </c>
      <c r="F29" s="86" t="str">
        <f t="array" ref="F29">IF(ROWS(F$29:F29)&lt;=$D$31,INDEX('Data coll &amp; ax'!$C$5:$C$13,SMALL(IF(datastage=3,IF(datastatus=1,ROW(datastatus)-ROW('Data coll &amp; ax'!$E$5)+1)),ROWS(F$29:F29))),"")</f>
        <v/>
      </c>
      <c r="G29" s="53"/>
      <c r="H29" s="136" t="str">
        <f t="array" ref="H29">IF(ROWS(H$29:H29)&lt;=$G$30,INDEX('Diagnostique lab'!$C$5:$C$14,SMALL(IF(labstage=3,IF(labstatus=0,ROW(labstatus)-ROW('Diagnostique lab'!$E$5)+1)),ROWS(H$29:H29))),"")</f>
        <v>Le diagnostic de laboratoire est disponible au niveau central et provincial ou de district pour les échantillons d'animaux</v>
      </c>
      <c r="I29" s="49" t="str">
        <f t="array" ref="I29">IF(ROWS(I$29:I29)&lt;=$G$31,INDEX('Diagnostique lab'!$C$5:$C$14,SMALL(IF(labstage=3,IF(labstatus=1,ROW(labstatus)-ROW('Diagnostique lab'!$F$5)+1)),ROWS(I$29:I29))),"")</f>
        <v>Possibilité pour l'isolement de variants du virus de la rage a été identifié ( épidémiologie moléculaire ) à l'intérieur ou à l'extérieur du pays</v>
      </c>
      <c r="J29" s="50"/>
      <c r="K29" s="131" t="str">
        <f t="array" ref="K29">IF(ROWS(K$29:K29)&lt;=$J$30,INDEX(IEC!$C$5:$C$22,SMALL(IF(iecstage=3,IF(iecstatus=0,ROW(iecstatus)-ROW(IEC!$E$5)+1)),ROWS(K$29:K29))),"")</f>
        <v>Plan de communication sur l'approche élimination de la rage est en cours d'élaboration et de publicité</v>
      </c>
      <c r="L29" s="85" t="str">
        <f t="array" ref="L29">IF(ROWS(L$29:L29)&lt;=$J$31,INDEX(IEC!$C$5:$C$22,SMALL(IF(iecstage=3,IF(iecstatus=1,ROW(iecstatus)-ROW(IEC!$E$5)+1)),ROWS(L$29:L29))),"")</f>
        <v xml:space="preserve">Campagnes de sensibilisation sur l'interet de la vaccination des chiens  menee  a large echelle et de maniere continue  </v>
      </c>
      <c r="M29" s="56"/>
      <c r="N29" s="136" t="str">
        <f t="array" ref="N29">IF(ROWS(N$29:N29)&lt;=$M$30,INDEX('Prev &amp; Ctrl'!$C$5:$C$29,SMALL(IF(prevstage=3,IF(prevstatus=0,ROW(prevstatus)-ROW('Prev &amp; Ctrl'!$E$5)+1)),ROWS(N$29:N29))),"")</f>
        <v>Protocoles modifiés sur les critères pour l'administration de la PPE dans les zones indemnes de rage ont été développés</v>
      </c>
      <c r="O29" s="49" t="str">
        <f t="array" ref="O29">IF(ROWS(O$29:O29)&lt;=$M$31,INDEX('Prev &amp; Ctrl'!$C$5:$C$29,SMALL(IF(prevstage=3,IF(prevstatus=1,ROW(prevstatus)-ROW('Prev &amp; Ctrl'!$E$5)+1)),ROWS(O$29:O29))),"")</f>
        <v>Fourniture en temps voulu et l'accès aux produits biologiques humaines de qualité sont assurés dans tout le pays (par exemple, avant et après la prophylaxie disponibles à un risque élevé d'exposition et les personnes exposées à travers le pays)</v>
      </c>
      <c r="P29" s="50"/>
      <c r="Q29" s="131" t="str">
        <f t="array" ref="Q29">IF(ROWS(Q$29:Q29)&lt;=$P$30,INDEX('Dog popn'!$C$5:C30,SMALL(IF(dogstage=3,IF(dogstatus=0,ROW(dogstatus)-ROW('Dog popn'!$E$5)+1)),ROWS(Q$29:Q29))),"")</f>
        <v>Écologie canine plus détaillée et enquêtes KAP , avec raffinement de la stratégie , comme indiqué</v>
      </c>
      <c r="R29" s="85" t="str">
        <f t="array" ref="R29">IF(ROWS(R$29:R29)&lt;=$P$31,INDEX('Dog popn'!$C$5:$C$7,SMALL(IF(dogstage=3,IF(dogstatus=1,ROW(dogstatus)-ROW('Dog popn'!$E$5)+1)),ROWS(R$29:R29))),"")</f>
        <v/>
      </c>
      <c r="S29" s="50"/>
      <c r="T29" s="136" t="str">
        <f t="array" ref="T29">IF(ROWS(T$29:T29)&lt;=$S$30,INDEX('Questions transversales'!$C$5:$C$19,SMALL(IF(crossstage=3,IF(crossstatus=0,ROW(crossstatus)-ROW('Questions transversales'!$E$5)+1)),ROWS(T$29:T29))),"")</f>
        <v>L'évaluation des interventions de la rage de chien ( par exemple, les enquêtes post- vaccination )</v>
      </c>
      <c r="U29" s="49" t="str">
        <f t="array" ref="U29">IF(ROWS(U$29:U29)&lt;=$S$31,INDEX('Questions transversales'!$C$5:$C$19,SMALL(IF(crossstage=3,IF(crossstatus=1,ROW(crossstatus)-ROW('Questions transversales'!$E$5)+1)),ROWS(U$29:U29))),"")</f>
        <v/>
      </c>
    </row>
    <row r="30" spans="1:21" s="51" customFormat="1" ht="56">
      <c r="A30" s="143">
        <f>SUMPRODUCT((STAGE=3)*(STATUS=0))</f>
        <v>0</v>
      </c>
      <c r="B30" s="133" t="str">
        <f t="array" ref="B30">IF(ROWS(B$29:B30)&lt;=$A$30,INDEX(Legislation!$C$5:$C$16,SMALL(IF(STAGE=3,IF(STATUS=0,ROW(STATUS)-ROW(Legislation!$E$5)+1)),ROWS(B$29:B30))),"")</f>
        <v/>
      </c>
      <c r="C30" s="86" t="str">
        <f t="array" ref="C30">IF(ROWS(C$29:C30)&lt;=$A$31,INDEX(Legislation!$C$5:$C$16,SMALL(IF(STAGE=3,IF(STATUS=1,ROW(STATUS)-ROW(Legislation!$E$5)+1)),ROWS(C$29:C30))),"")</f>
        <v/>
      </c>
      <c r="D30" s="62">
        <f>SUMPRODUCT(((datastage=3)*(datastatus=0)))</f>
        <v>2</v>
      </c>
      <c r="E30" s="133" t="str">
        <f t="array" ref="E30">IF(ROWS(E$29:E30)&lt;=$D$30,INDEX('Data coll &amp; ax'!$C$5:$C$13,SMALL(IF(datastage=3,IF(datastatus=0,ROW(datastatus)-ROW('Data coll &amp; ax'!$E$5)+1)),ROWS(E$29:E30))),"")</f>
        <v>Une collection de données économiques de la santé sur le contrôle de la rage au niveau national a été en cours</v>
      </c>
      <c r="F30" s="86" t="str">
        <f t="array" ref="F30">IF(ROWS(F$29:F30)&lt;=$D$31,INDEX('Data coll &amp; ax'!$C$5:$C$13,SMALL(IF(datastage=3,IF(datastatus=1,ROW(datastatus)-ROW('Data coll &amp; ax'!$E$5)+1)),ROWS(F$29:F30))),"")</f>
        <v/>
      </c>
      <c r="G30" s="53">
        <f>SUMPRODUCT((labstage=3)*(labstatus=0))</f>
        <v>2</v>
      </c>
      <c r="H30" s="137" t="str">
        <f t="array" ref="H30">IF(ROWS(H$29:H30)&lt;=$G$30,INDEX('Diagnostique lab'!$C$5:$C$14,SMALL(IF(labstage=3,IF(labstatus=0,ROW(labstatus)-ROW('Diagnostique lab'!$E$5)+1)),ROWS(H$29:H30))),"")</f>
        <v>Le diagnostic de laboratoire est disponible au niveau central et provincial ou de district pour les échantillons humains</v>
      </c>
      <c r="I30" s="52" t="str">
        <f t="array" ref="I30">IF(ROWS(I$29:I30)&lt;=$G$31,INDEX('Diagnostique lab'!$C$5:$C$14,SMALL(IF(labstage=3,IF(labstatus=1,ROW(labstatus)-ROW('Diagnostique lab'!$F$5)+1)),ROWS(I$29:I30))),"")</f>
        <v/>
      </c>
      <c r="J30" s="53">
        <f>SUMPRODUCT((iecstage=3)*(iecstatus=0))</f>
        <v>2</v>
      </c>
      <c r="K30" s="133" t="str">
        <f t="array" ref="K30">IF(ROWS(K$29:K30)&lt;=$J$30,INDEX(IEC!$C$5:$C$22,SMALL(IF(iecstage=3,IF(iecstatus=0,ROW(iecstatus)-ROW(IEC!$E$5)+1)),ROWS(K$29:K30))),"")</f>
        <v>Responsable promotion de la possession d'un chien a été inclus dans les campagnes de sensibilisation régulières de la rage</v>
      </c>
      <c r="L30" s="86" t="str">
        <f t="array" ref="L30">IF(ROWS(L$29:L30)&lt;=$J$31,INDEX(IEC!$C$5:$C$22,SMALL(IF(iecstage=3,IF(iecstatus=1,ROW(iecstatus)-ROW(IEC!$E$5)+1)),ROWS(L$29:L30))),"")</f>
        <v/>
      </c>
      <c r="M30" s="57">
        <f>SUMPRODUCT((prevstage=3)*(prevstatus=0))</f>
        <v>5</v>
      </c>
      <c r="N30" s="137" t="str">
        <f t="array" ref="N30">IF(ROWS(N$29:N30)&lt;=$M$30,INDEX('Prev &amp; Ctrl'!$C$5:$C$29,SMALL(IF(prevstage=3,IF(prevstatus=0,ROW(prevstatus)-ROW('Prev &amp; Ctrl'!$E$5)+1)),ROWS(N$29:N30))),"")</f>
        <v>Des campagnes de vaccination de masse des chiens approfondies ( 70 % de la population canine totale ) sont menées comme prévu dans tout le pays</v>
      </c>
      <c r="O30" s="52" t="str">
        <f t="array" ref="O30">IF(ROWS(O$29:O30)&lt;=$M$31,INDEX('Prev &amp; Ctrl'!$C$5:$C$29,SMALL(IF(prevstage=3,IF(prevstatus=1,ROW(prevstatus)-ROW('Prev &amp; Ctrl'!$E$5)+1)),ROWS(O$29:O30))),"")</f>
        <v/>
      </c>
      <c r="P30" s="53">
        <f>SUMPRODUCT((dogstage=3)*(dogstatus=0))</f>
        <v>2</v>
      </c>
      <c r="Q30" s="133" t="str">
        <f t="array" ref="Q30">IF(ROWS(Q$29:Q30)&lt;=$P$30,INDEX('Dog popn'!$C$5:C31,SMALL(IF(dogstage=3,IF(dogstatus=0,ROW(dogstatus)-ROW('Dog popn'!$E$5)+1)),ROWS(Q$29:Q30))),"")</f>
        <v>Responsable promotion de la possession d'un chien a été inclus dans les campagnes de sensibilisation régulières de la rage</v>
      </c>
      <c r="R30" s="86" t="str">
        <f t="array" ref="R30">IF(ROWS(R$29:R30)&lt;=$P$31,INDEX('Dog popn'!$C$5:$C$7,SMALL(IF(dogstage=3,IF(dogstatus=1,ROW(dogstatus)-ROW('Dog popn'!$E$5)+1)),ROWS(R$29:R30))),"")</f>
        <v/>
      </c>
      <c r="S30" s="53">
        <f>SUMPRODUCT((crossstage=3)*(crossstatus=0))</f>
        <v>3</v>
      </c>
      <c r="T30" s="137" t="str">
        <f t="array" ref="T30">IF(ROWS(T$29:T30)&lt;=$S$30,INDEX('Questions transversales'!$C$5:$C$19,SMALL(IF(crossstage=3,IF(crossstatus=0,ROW(crossstatus)-ROW('Questions transversales'!$E$5)+1)),ROWS(T$29:T30))),"")</f>
        <v>L'évaluation des interventions de rage humaine (par exemple PEP suivi des patients humains )</v>
      </c>
      <c r="U30" s="52" t="str">
        <f t="array" ref="U30">IF(ROWS(U$29:U30)&lt;=$S$31,INDEX('Questions transversales'!$C$5:$C$19,SMALL(IF(crossstage=3,IF(crossstatus=1,ROW(crossstatus)-ROW('Questions transversales'!$E$5)+1)),ROWS(U$29:U30))),"")</f>
        <v/>
      </c>
    </row>
    <row r="31" spans="1:21" s="51" customFormat="1" ht="42">
      <c r="A31" s="143">
        <f>SUMPRODUCT((STAGE=3)*(STATUS=1))</f>
        <v>0</v>
      </c>
      <c r="B31" s="133" t="str">
        <f t="array" ref="B31">IF(ROWS(B$29:B31)&lt;=$A$30,INDEX(Legislation!$C$5:$C$16,SMALL(IF(STAGE=3,IF(STATUS=0,ROW(STATUS)-ROW(Legislation!$E$5)+1)),ROWS(B$29:B31))),"")</f>
        <v/>
      </c>
      <c r="C31" s="86" t="str">
        <f t="array" ref="C31">IF(ROWS(C$29:C31)&lt;=$A$31,INDEX(Legislation!$C$5:$C$16,SMALL(IF(STAGE=3,IF(STATUS=1,ROW(STATUS)-ROW(Legislation!$E$5)+1)),ROWS(C$29:C31))),"")</f>
        <v/>
      </c>
      <c r="D31" s="62">
        <f>SUMPRODUCT((datastage=3)*(datastatus=1))</f>
        <v>0</v>
      </c>
      <c r="E31" s="133" t="str">
        <f t="array" ref="E31">IF(ROWS(E$29:E31)&lt;=$D$30,INDEX('Data coll &amp; ax'!$C$5:$C$13,SMALL(IF(datastage=3,IF(datastatus=0,ROW(datastatus)-ROW('Data coll &amp; ax'!$E$5)+1)),ROWS(E$29:E31))),"")</f>
        <v/>
      </c>
      <c r="F31" s="86" t="str">
        <f t="array" ref="F31">IF(ROWS(F$29:F31)&lt;=$D$31,INDEX('Data coll &amp; ax'!$C$5:$C$13,SMALL(IF(datastage=3,IF(datastatus=1,ROW(datastatus)-ROW('Data coll &amp; ax'!$E$5)+1)),ROWS(F$29:F31))),"")</f>
        <v/>
      </c>
      <c r="G31" s="53">
        <f>SUMPRODUCT((labstage=3)*(labstatus=1))</f>
        <v>1</v>
      </c>
      <c r="H31" s="137" t="str">
        <f t="array" ref="H31">IF(ROWS(H$29:H31)&lt;=$G$30,INDEX('Diagnostique lab'!$C$5:$C$14,SMALL(IF(labstage=3,IF(labstatus=0,ROW(labstatus)-ROW('Diagnostique lab'!$E$5)+1)),ROWS(H$29:H31))),"")</f>
        <v/>
      </c>
      <c r="I31" s="52" t="str">
        <f t="array" ref="I31">IF(ROWS(I$29:I31)&lt;=$G$31,INDEX('Diagnostique lab'!$C$5:$C$14,SMALL(IF(labstage=3,IF(labstatus=1,ROW(labstatus)-ROW('Diagnostique lab'!$F$5)+1)),ROWS(I$29:I31))),"")</f>
        <v/>
      </c>
      <c r="J31" s="53">
        <f>SUMPRODUCT((iecstage=3)*(iecstatus=1))</f>
        <v>1</v>
      </c>
      <c r="K31" s="133" t="str">
        <f t="array" ref="K31">IF(ROWS(K$29:K31)&lt;=$J$30,INDEX(IEC!$C$5:$C$22,SMALL(IF(iecstage=3,IF(iecstatus=0,ROW(iecstatus)-ROW(IEC!$E$5)+1)),ROWS(K$29:K31))),"")</f>
        <v/>
      </c>
      <c r="L31" s="86" t="str">
        <f t="array" ref="L31">IF(ROWS(L$29:L31)&lt;=$J$31,INDEX(IEC!$C$5:$C$22,SMALL(IF(iecstage=3,IF(iecstatus=1,ROW(iecstatus)-ROW(IEC!$E$5)+1)),ROWS(L$29:L31))),"")</f>
        <v/>
      </c>
      <c r="M31" s="57">
        <f>SUMPRODUCT((prevstage=3)*(prevstatus=1))</f>
        <v>1</v>
      </c>
      <c r="N31" s="137" t="str">
        <f t="array" ref="N31">IF(ROWS(N$29:N31)&lt;=$M$30,INDEX('Prev &amp; Ctrl'!$C$5:$C$29,SMALL(IF(prevstage=3,IF(prevstatus=0,ROW(prevstatus)-ROW('Prev &amp; Ctrl'!$E$5)+1)),ROWS(N$29:N31))),"")</f>
        <v>Les professionnels ont été formés en réponse à la flambée et d'enquête</v>
      </c>
      <c r="O31" s="52" t="str">
        <f t="array" ref="O31">IF(ROWS(O$29:O31)&lt;=$M$31,INDEX('Prev &amp; Ctrl'!$C$5:$C$29,SMALL(IF(prevstage=3,IF(prevstatus=1,ROW(prevstatus)-ROW('Prev &amp; Ctrl'!$E$5)+1)),ROWS(O$29:O31))),"")</f>
        <v/>
      </c>
      <c r="P31" s="53">
        <f>SUMPRODUCT((dogstage=3)*(dogstatus=1))</f>
        <v>0</v>
      </c>
      <c r="Q31" s="133" t="str">
        <f t="array" ref="Q31">IF(ROWS(Q$29:Q31)&lt;=$P$30,INDEX('Dog popn'!$C$5:C32,SMALL(IF(dogstage=3,IF(dogstatus=0,ROW(dogstatus)-ROW('Dog popn'!$E$5)+1)),ROWS(Q$29:Q31))),"")</f>
        <v/>
      </c>
      <c r="R31" s="86" t="str">
        <f t="array" ref="R31">IF(ROWS(R$29:R31)&lt;=$P$31,INDEX('Dog popn'!$C$5:$C$7,SMALL(IF(dogstage=3,IF(dogstatus=1,ROW(dogstatus)-ROW('Dog popn'!$E$5)+1)),ROWS(R$29:R31))),"")</f>
        <v/>
      </c>
      <c r="S31" s="53">
        <f>SUMPRODUCT((crossstage=3)*(crossstatus=1))</f>
        <v>0</v>
      </c>
      <c r="T31" s="137" t="str">
        <f t="array" ref="T31">IF(ROWS(T$29:T31)&lt;=$S$30,INDEX('Questions transversales'!$C$5:$C$19,SMALL(IF(crossstage=3,IF(crossstatus=0,ROW(crossstatus)-ROW('Questions transversales'!$E$5)+1)),ROWS(T$29:T31))),"")</f>
        <v>La situation épidémiologique a été revu et le programme et la stratégie nationale ont été adaptés en fonction des besoins</v>
      </c>
      <c r="U31" s="52" t="str">
        <f t="array" ref="U31">IF(ROWS(U$29:U31)&lt;=$S$31,INDEX('Questions transversales'!$C$5:$C$19,SMALL(IF(crossstage=3,IF(crossstatus=1,ROW(crossstatus)-ROW('Questions transversales'!$E$5)+1)),ROWS(U$29:U31))),"")</f>
        <v/>
      </c>
    </row>
    <row r="32" spans="1:21" s="51" customFormat="1" ht="42">
      <c r="A32" s="144"/>
      <c r="B32" s="133" t="str">
        <f t="array" ref="B32">IF(ROWS(B$29:B32)&lt;=$A$30,INDEX(Legislation!$C$5:$C$16,SMALL(IF(STAGE=3,IF(STATUS=0,ROW(STATUS)-ROW(Legislation!$E$5)+1)),ROWS(B$29:B32))),"")</f>
        <v/>
      </c>
      <c r="C32" s="86" t="str">
        <f t="array" ref="C32">IF(ROWS(C$29:C32)&lt;=$A$31,INDEX(Legislation!$C$5:$C$16,SMALL(IF(STAGE=3,IF(STATUS=1,ROW(STATUS)-ROW(Legislation!$E$5)+1)),ROWS(C$29:C32))),"")</f>
        <v/>
      </c>
      <c r="D32" s="62"/>
      <c r="E32" s="133" t="str">
        <f t="array" ref="E32">IF(ROWS(E$29:E32)&lt;=$D$30,INDEX('Data coll &amp; ax'!$C$5:$C$13,SMALL(IF(datastage=3,IF(datastatus=0,ROW(datastatus)-ROW('Data coll &amp; ax'!$E$5)+1)),ROWS(E$29:E32))),"")</f>
        <v/>
      </c>
      <c r="F32" s="86" t="str">
        <f t="array" ref="F32">IF(ROWS(F$29:F32)&lt;=$D$31,INDEX('Data coll &amp; ax'!$C$5:$C$13,SMALL(IF(datastage=3,IF(datastatus=1,ROW(datastatus)-ROW('Data coll &amp; ax'!$E$5)+1)),ROWS(F$29:F32))),"")</f>
        <v/>
      </c>
      <c r="G32" s="53"/>
      <c r="H32" s="137" t="str">
        <f t="array" ref="H32">IF(ROWS(H$29:H32)&lt;=$G$30,INDEX('Diagnostique lab'!$C$5:$C$14,SMALL(IF(labstage=3,IF(labstatus=0,ROW(labstatus)-ROW('Diagnostique lab'!$E$5)+1)),ROWS(H$29:H32))),"")</f>
        <v/>
      </c>
      <c r="I32" s="52" t="str">
        <f t="array" ref="I32">IF(ROWS(I$29:I32)&lt;=$G$31,INDEX('Diagnostique lab'!$C$5:$C$14,SMALL(IF(labstage=3,IF(labstatus=1,ROW(labstatus)-ROW('Diagnostique lab'!$F$5)+1)),ROWS(I$29:I32))),"")</f>
        <v/>
      </c>
      <c r="J32" s="53"/>
      <c r="K32" s="133" t="str">
        <f t="array" ref="K32">IF(ROWS(K$29:K32)&lt;=$J$30,INDEX(IEC!$C$5:$C$22,SMALL(IF(iecstage=3,IF(iecstatus=0,ROW(iecstatus)-ROW(IEC!$E$5)+1)),ROWS(K$29:K32))),"")</f>
        <v/>
      </c>
      <c r="L32" s="86" t="str">
        <f t="array" ref="L32">IF(ROWS(L$29:L32)&lt;=$J$31,INDEX(IEC!$C$5:$C$22,SMALL(IF(iecstage=3,IF(iecstatus=1,ROW(iecstatus)-ROW(IEC!$E$5)+1)),ROWS(L$29:L32))),"")</f>
        <v/>
      </c>
      <c r="M32" s="57"/>
      <c r="N32" s="137" t="str">
        <f t="array" ref="N32">IF(ROWS(N$29:N32)&lt;=$M$30,INDEX('Prev &amp; Ctrl'!$C$5:$C$29,SMALL(IF(prevstage=3,IF(prevstatus=0,ROW(prevstatus)-ROW('Prev &amp; Ctrl'!$E$5)+1)),ROWS(N$29:N32))),"")</f>
        <v>Équipements pour l'observation vétérinaire de la rage - suspect mordre chien ont été établies en nombre suffisant</v>
      </c>
      <c r="O32" s="52" t="str">
        <f t="array" ref="O32">IF(ROWS(O$29:O32)&lt;=$M$31,INDEX('Prev &amp; Ctrl'!$C$5:$C$29,SMALL(IF(prevstage=3,IF(prevstatus=1,ROW(prevstatus)-ROW('Prev &amp; Ctrl'!$E$5)+1)),ROWS(O$29:O32))),"")</f>
        <v/>
      </c>
      <c r="P32" s="53"/>
      <c r="Q32" s="133" t="str">
        <f t="array" ref="Q32">IF(ROWS(Q$29:Q32)&lt;=$P$30,INDEX('Dog popn'!$C$5:C33,SMALL(IF(dogstage=3,IF(dogstatus=0,ROW(dogstatus)-ROW('Dog popn'!$E$5)+1)),ROWS(Q$29:Q32))),"")</f>
        <v/>
      </c>
      <c r="R32" s="86" t="str">
        <f t="array" ref="R32">IF(ROWS(R$29:R32)&lt;=$P$31,INDEX('Dog popn'!$C$5:$C$7,SMALL(IF(dogstage=3,IF(dogstatus=1,ROW(dogstatus)-ROW('Dog popn'!$E$5)+1)),ROWS(R$29:R32))),"")</f>
        <v/>
      </c>
      <c r="S32" s="53"/>
      <c r="T32" s="137" t="str">
        <f t="array" ref="T32">IF(ROWS(T$29:T32)&lt;=$S$30,INDEX('Questions transversales'!$C$5:$C$19,SMALL(IF(crossstage=3,IF(crossstatus=0,ROW(crossstatus)-ROW('Questions transversales'!$E$5)+1)),ROWS(T$29:T32))),"")</f>
        <v/>
      </c>
      <c r="U32" s="52" t="str">
        <f t="array" ref="U32">IF(ROWS(U$29:U32)&lt;=$S$31,INDEX('Questions transversales'!$C$5:$C$19,SMALL(IF(crossstage=3,IF(crossstatus=1,ROW(crossstatus)-ROW('Questions transversales'!$E$5)+1)),ROWS(U$29:U32))),"")</f>
        <v/>
      </c>
    </row>
    <row r="33" spans="1:21" s="51" customFormat="1" ht="56">
      <c r="A33" s="144"/>
      <c r="B33" s="133" t="str">
        <f t="array" ref="B33">IF(ROWS(B$29:B33)&lt;=$A$30,INDEX(Legislation!$C$5:$C$16,SMALL(IF(STAGE=3,IF(STATUS=0,ROW(STATUS)-ROW(Legislation!$E$5)+1)),ROWS(B$29:B33))),"")</f>
        <v/>
      </c>
      <c r="C33" s="86" t="str">
        <f t="array" ref="C33">IF(ROWS(C$29:C33)&lt;=$A$31,INDEX(Legislation!$C$5:$C$16,SMALL(IF(STAGE=3,IF(STATUS=1,ROW(STATUS)-ROW(Legislation!$E$5)+1)),ROWS(C$29:C33))),"")</f>
        <v/>
      </c>
      <c r="D33" s="62"/>
      <c r="E33" s="133" t="str">
        <f t="array" ref="E33">IF(ROWS(E$29:E33)&lt;=$D$30,INDEX('Data coll &amp; ax'!$C$5:$C$13,SMALL(IF(datastage=3,IF(datastatus=0,ROW(datastatus)-ROW('Data coll &amp; ax'!$E$5)+1)),ROWS(E$29:E33))),"")</f>
        <v/>
      </c>
      <c r="F33" s="86" t="str">
        <f t="array" ref="F33">IF(ROWS(F$29:F33)&lt;=$D$31,INDEX('Data coll &amp; ax'!$C$5:$C$13,SMALL(IF(datastage=3,IF(datastatus=1,ROW(datastatus)-ROW('Data coll &amp; ax'!$E$5)+1)),ROWS(F$29:F33))),"")</f>
        <v/>
      </c>
      <c r="G33" s="53"/>
      <c r="H33" s="137" t="str">
        <f t="array" ref="H33">IF(ROWS(H$29:H33)&lt;=$G$30,INDEX('Diagnostique lab'!$C$5:$C$14,SMALL(IF(labstage=3,IF(labstatus=0,ROW(labstatus)-ROW('Diagnostique lab'!$E$5)+1)),ROWS(H$29:H33))),"")</f>
        <v/>
      </c>
      <c r="I33" s="52" t="str">
        <f t="array" ref="I33">IF(ROWS(I$29:I33)&lt;=$G$31,INDEX('Diagnostique lab'!$C$5:$C$14,SMALL(IF(labstage=3,IF(labstatus=1,ROW(labstatus)-ROW('Diagnostique lab'!$F$5)+1)),ROWS(I$29:I33))),"")</f>
        <v/>
      </c>
      <c r="J33" s="53"/>
      <c r="K33" s="133" t="str">
        <f t="array" ref="K33">IF(ROWS(K$29:K33)&lt;=$J$30,INDEX(IEC!$C$5:$C$22,SMALL(IF(iecstage=3,IF(iecstatus=0,ROW(iecstatus)-ROW(IEC!$E$5)+1)),ROWS(K$29:K33))),"")</f>
        <v/>
      </c>
      <c r="L33" s="86" t="str">
        <f t="array" ref="L33">IF(ROWS(L$29:L33)&lt;=$J$31,INDEX(IEC!$C$5:$C$22,SMALL(IF(iecstage=3,IF(iecstatus=1,ROW(iecstatus)-ROW(IEC!$E$5)+1)),ROWS(L$29:L33))),"")</f>
        <v/>
      </c>
      <c r="M33" s="57"/>
      <c r="N33" s="137" t="str">
        <f t="array" ref="N33">IF(ROWS(N$29:N33)&lt;=$M$30,INDEX('Prev &amp; Ctrl'!$C$5:$C$29,SMALL(IF(prevstage=3,IF(prevstatus=0,ROW(prevstatus)-ROW('Prev &amp; Ctrl'!$E$5)+1)),ROWS(N$29:N33))),"")</f>
        <v>Équipements pour l'observation vétérinaire de la rage suspecte chien qui mord conformes aux réglementations internationales de protection des animaux</v>
      </c>
      <c r="O33" s="52" t="str">
        <f t="array" ref="O33">IF(ROWS(O$29:O33)&lt;=$M$31,INDEX('Prev &amp; Ctrl'!$C$5:$C$29,SMALL(IF(prevstage=3,IF(prevstatus=1,ROW(prevstatus)-ROW('Prev &amp; Ctrl'!$E$5)+1)),ROWS(O$29:O33))),"")</f>
        <v/>
      </c>
      <c r="P33" s="53"/>
      <c r="Q33" s="133" t="str">
        <f t="array" ref="Q33">IF(ROWS(Q$29:Q33)&lt;=$P$30,INDEX('Dog popn'!$C$5:C34,SMALL(IF(dogstage=3,IF(dogstatus=0,ROW(dogstatus)-ROW('Dog popn'!$E$5)+1)),ROWS(Q$29:Q33))),"")</f>
        <v/>
      </c>
      <c r="R33" s="86" t="str">
        <f t="array" ref="R33">IF(ROWS(R$29:R33)&lt;=$P$31,INDEX('Dog popn'!$C$5:$C$7,SMALL(IF(dogstage=3,IF(dogstatus=1,ROW(dogstatus)-ROW('Dog popn'!$E$5)+1)),ROWS(R$29:R33))),"")</f>
        <v/>
      </c>
      <c r="S33" s="53"/>
      <c r="T33" s="137" t="str">
        <f t="array" ref="T33">IF(ROWS(T$29:T33)&lt;=$S$30,INDEX('Questions transversales'!$C$5:$C$19,SMALL(IF(crossstage=3,IF(crossstatus=0,ROW(crossstatus)-ROW('Questions transversales'!$E$5)+1)),ROWS(T$29:T33))),"")</f>
        <v/>
      </c>
      <c r="U33" s="52" t="str">
        <f t="array" ref="U33">IF(ROWS(U$29:U33)&lt;=$S$31,INDEX('Questions transversales'!$C$5:$C$19,SMALL(IF(crossstage=3,IF(crossstatus=1,ROW(crossstatus)-ROW('Questions transversales'!$E$5)+1)),ROWS(U$29:U33))),"")</f>
        <v/>
      </c>
    </row>
    <row r="34" spans="1:21" s="51" customFormat="1">
      <c r="A34" s="144"/>
      <c r="B34" s="133" t="str">
        <f t="array" ref="B34">IF(ROWS(B$29:B34)&lt;=$A$30,INDEX(Legislation!$C$5:$C$16,SMALL(IF(STAGE=3,IF(STATUS=0,ROW(STATUS)-ROW(Legislation!$E$5)+1)),ROWS(B$29:B34))),"")</f>
        <v/>
      </c>
      <c r="C34" s="86" t="str">
        <f t="array" ref="C34">IF(ROWS(C$29:C34)&lt;=$A$31,INDEX(Legislation!$C$5:$C$16,SMALL(IF(STAGE=3,IF(STATUS=1,ROW(STATUS)-ROW(Legislation!$E$5)+1)),ROWS(C$29:C34))),"")</f>
        <v/>
      </c>
      <c r="D34" s="62"/>
      <c r="E34" s="133" t="str">
        <f t="array" ref="E34">IF(ROWS(E$29:E34)&lt;=$D$30,INDEX('Data coll &amp; ax'!$C$5:$C$13,SMALL(IF(datastage=3,IF(datastatus=0,ROW(datastatus)-ROW('Data coll &amp; ax'!$E$5)+1)),ROWS(E$29:E34))),"")</f>
        <v/>
      </c>
      <c r="F34" s="86" t="str">
        <f t="array" ref="F34">IF(ROWS(F$29:F34)&lt;=$D$31,INDEX('Data coll &amp; ax'!$C$5:$C$13,SMALL(IF(datastage=3,IF(datastatus=1,ROW(datastatus)-ROW('Data coll &amp; ax'!$E$5)+1)),ROWS(F$29:F34))),"")</f>
        <v/>
      </c>
      <c r="G34" s="53"/>
      <c r="H34" s="137" t="str">
        <f t="array" ref="H34">IF(ROWS(H$29:H34)&lt;=$G$30,INDEX('Diagnostique lab'!$C$5:$C$14,SMALL(IF(labstage=3,IF(labstatus=0,ROW(labstatus)-ROW('Diagnostique lab'!$E$5)+1)),ROWS(H$29:H34))),"")</f>
        <v/>
      </c>
      <c r="I34" s="52" t="str">
        <f t="array" ref="I34">IF(ROWS(I$29:I34)&lt;=$G$31,INDEX('Diagnostique lab'!$C$5:$C$14,SMALL(IF(labstage=3,IF(labstatus=1,ROW(labstatus)-ROW('Diagnostique lab'!$F$5)+1)),ROWS(I$29:I34))),"")</f>
        <v/>
      </c>
      <c r="J34" s="53"/>
      <c r="K34" s="133" t="str">
        <f t="array" ref="K34">IF(ROWS(K$29:K34)&lt;=$J$30,INDEX(IEC!$C$5:$C$22,SMALL(IF(iecstage=3,IF(iecstatus=0,ROW(iecstatus)-ROW(IEC!$E$5)+1)),ROWS(K$29:K34))),"")</f>
        <v/>
      </c>
      <c r="L34" s="86" t="str">
        <f t="array" ref="L34">IF(ROWS(L$29:L34)&lt;=$J$31,INDEX(IEC!$C$5:$C$22,SMALL(IF(iecstage=3,IF(iecstatus=1,ROW(iecstatus)-ROW(IEC!$E$5)+1)),ROWS(L$29:L34))),"")</f>
        <v/>
      </c>
      <c r="M34" s="57"/>
      <c r="N34" s="137" t="str">
        <f t="array" ref="N34">IF(ROWS(N$29:N34)&lt;=$M$30,INDEX('Prev &amp; Ctrl'!$C$5:$C$29,SMALL(IF(prevstage=3,IF(prevstatus=0,ROW(prevstatus)-ROW('Prev &amp; Ctrl'!$E$5)+1)),ROWS(N$29:N34))),"")</f>
        <v/>
      </c>
      <c r="O34" s="52" t="str">
        <f t="array" ref="O34">IF(ROWS(O$29:O34)&lt;=$M$31,INDEX('Prev &amp; Ctrl'!$C$5:$C$29,SMALL(IF(prevstage=3,IF(prevstatus=1,ROW(prevstatus)-ROW('Prev &amp; Ctrl'!$E$5)+1)),ROWS(O$29:O34))),"")</f>
        <v/>
      </c>
      <c r="P34" s="53"/>
      <c r="Q34" s="133" t="str">
        <f t="array" ref="Q34">IF(ROWS(Q$29:Q34)&lt;=$P$30,INDEX('Dog popn'!$C$5:C35,SMALL(IF(dogstage=3,IF(dogstatus=0,ROW(dogstatus)-ROW('Dog popn'!$E$5)+1)),ROWS(Q$29:Q34))),"")</f>
        <v/>
      </c>
      <c r="R34" s="86" t="str">
        <f t="array" ref="R34">IF(ROWS(R$29:R34)&lt;=$P$31,INDEX('Dog popn'!$C$5:$C$7,SMALL(IF(dogstage=3,IF(dogstatus=1,ROW(dogstatus)-ROW('Dog popn'!$E$5)+1)),ROWS(R$29:R34))),"")</f>
        <v/>
      </c>
      <c r="S34" s="53"/>
      <c r="T34" s="137" t="str">
        <f t="array" ref="T34">IF(ROWS(T$29:T34)&lt;=$S$30,INDEX('Questions transversales'!$C$5:$C$19,SMALL(IF(crossstage=3,IF(crossstatus=0,ROW(crossstatus)-ROW('Questions transversales'!$E$5)+1)),ROWS(T$29:T34))),"")</f>
        <v/>
      </c>
      <c r="U34" s="52" t="str">
        <f t="array" ref="U34">IF(ROWS(U$29:U34)&lt;=$S$31,INDEX('Questions transversales'!$C$5:$C$19,SMALL(IF(crossstage=3,IF(crossstatus=1,ROW(crossstatus)-ROW('Questions transversales'!$E$5)+1)),ROWS(U$29:U34))),"")</f>
        <v/>
      </c>
    </row>
    <row r="35" spans="1:21" s="51" customFormat="1">
      <c r="A35" s="144"/>
      <c r="B35" s="133" t="str">
        <f t="array" ref="B35">IF(ROWS(B$29:B35)&lt;=$A$30,INDEX(Legislation!$C$5:$C$16,SMALL(IF(STAGE=3,IF(STATUS=0,ROW(STATUS)-ROW(Legislation!$E$5)+1)),ROWS(B$29:B35))),"")</f>
        <v/>
      </c>
      <c r="C35" s="86" t="str">
        <f t="array" ref="C35">IF(ROWS(C$29:C35)&lt;=$A$31,INDEX(Legislation!$C$5:$C$16,SMALL(IF(STAGE=3,IF(STATUS=1,ROW(STATUS)-ROW(Legislation!$E$5)+1)),ROWS(C$29:C35))),"")</f>
        <v/>
      </c>
      <c r="D35" s="62"/>
      <c r="E35" s="133" t="str">
        <f t="array" ref="E35">IF(ROWS(E$29:E35)&lt;=$D$30,INDEX('Data coll &amp; ax'!$C$5:$C$13,SMALL(IF(datastage=3,IF(datastatus=0,ROW(datastatus)-ROW('Data coll &amp; ax'!$E$5)+1)),ROWS(E$29:E35))),"")</f>
        <v/>
      </c>
      <c r="F35" s="86" t="str">
        <f t="array" ref="F35">IF(ROWS(F$29:F35)&lt;=$D$31,INDEX('Data coll &amp; ax'!$C$5:$C$13,SMALL(IF(datastage=3,IF(datastatus=1,ROW(datastatus)-ROW('Data coll &amp; ax'!$E$5)+1)),ROWS(F$29:F35))),"")</f>
        <v/>
      </c>
      <c r="G35" s="53"/>
      <c r="H35" s="137" t="str">
        <f t="array" ref="H35">IF(ROWS(H$29:H35)&lt;=$G$30,INDEX('Diagnostique lab'!$C$5:$C$14,SMALL(IF(labstage=3,IF(labstatus=0,ROW(labstatus)-ROW('Diagnostique lab'!$E$5)+1)),ROWS(H$29:H35))),"")</f>
        <v/>
      </c>
      <c r="I35" s="52" t="str">
        <f t="array" ref="I35">IF(ROWS(I$29:I35)&lt;=$G$31,INDEX('Diagnostique lab'!$C$5:$C$14,SMALL(IF(labstage=3,IF(labstatus=1,ROW(labstatus)-ROW('Diagnostique lab'!$F$5)+1)),ROWS(I$29:I35))),"")</f>
        <v/>
      </c>
      <c r="J35" s="53"/>
      <c r="K35" s="133" t="str">
        <f t="array" ref="K35">IF(ROWS(K$29:K35)&lt;=$J$30,INDEX(IEC!$C$5:$C$22,SMALL(IF(iecstage=3,IF(iecstatus=0,ROW(iecstatus)-ROW(IEC!$E$5)+1)),ROWS(K$29:K35))),"")</f>
        <v/>
      </c>
      <c r="L35" s="86" t="str">
        <f t="array" ref="L35">IF(ROWS(L$29:L35)&lt;=$J$31,INDEX(IEC!$C$5:$C$22,SMALL(IF(iecstage=3,IF(iecstatus=1,ROW(iecstatus)-ROW(IEC!$E$5)+1)),ROWS(L$29:L35))),"")</f>
        <v/>
      </c>
      <c r="M35" s="57"/>
      <c r="N35" s="137" t="str">
        <f t="array" ref="N35">IF(ROWS(N$29:N35)&lt;=$M$30,INDEX('Prev &amp; Ctrl'!$C$5:$C$29,SMALL(IF(prevstage=3,IF(prevstatus=0,ROW(prevstatus)-ROW('Prev &amp; Ctrl'!$E$5)+1)),ROWS(N$29:N35))),"")</f>
        <v/>
      </c>
      <c r="O35" s="52" t="str">
        <f t="array" ref="O35">IF(ROWS(O$29:O35)&lt;=$M$31,INDEX('Prev &amp; Ctrl'!$C$5:$C$29,SMALL(IF(prevstage=3,IF(prevstatus=1,ROW(prevstatus)-ROW('Prev &amp; Ctrl'!$E$5)+1)),ROWS(O$29:O35))),"")</f>
        <v/>
      </c>
      <c r="P35" s="53"/>
      <c r="Q35" s="133" t="str">
        <f t="array" ref="Q35">IF(ROWS(Q$29:Q35)&lt;=$P$30,INDEX('Dog popn'!$C$5:C36,SMALL(IF(dogstage=3,IF(dogstatus=0,ROW(dogstatus)-ROW('Dog popn'!$E$5)+1)),ROWS(Q$29:Q35))),"")</f>
        <v/>
      </c>
      <c r="R35" s="86" t="str">
        <f t="array" ref="R35">IF(ROWS(R$29:R35)&lt;=$P$31,INDEX('Dog popn'!$C$5:$C$7,SMALL(IF(dogstage=3,IF(dogstatus=1,ROW(dogstatus)-ROW('Dog popn'!$E$5)+1)),ROWS(R$29:R35))),"")</f>
        <v/>
      </c>
      <c r="S35" s="53"/>
      <c r="T35" s="137" t="str">
        <f t="array" ref="T35">IF(ROWS(T$29:T35)&lt;=$S$30,INDEX('Questions transversales'!$C$5:$C$19,SMALL(IF(crossstage=3,IF(crossstatus=0,ROW(crossstatus)-ROW('Questions transversales'!$E$5)+1)),ROWS(T$29:T35))),"")</f>
        <v/>
      </c>
      <c r="U35" s="52" t="str">
        <f t="array" ref="U35">IF(ROWS(U$29:U35)&lt;=$S$31,INDEX('Questions transversales'!$C$5:$C$19,SMALL(IF(crossstage=3,IF(crossstatus=1,ROW(crossstatus)-ROW('Questions transversales'!$E$5)+1)),ROWS(U$29:U35))),"")</f>
        <v/>
      </c>
    </row>
    <row r="36" spans="1:21" s="51" customFormat="1">
      <c r="A36" s="144"/>
      <c r="B36" s="133" t="str">
        <f t="array" ref="B36">IF(ROWS(B$29:B36)&lt;=$A$30,INDEX(Legislation!$C$5:$C$16,SMALL(IF(STAGE=3,IF(STATUS=0,ROW(STATUS)-ROW(Legislation!$E$5)+1)),ROWS(B$29:B36))),"")</f>
        <v/>
      </c>
      <c r="C36" s="86" t="str">
        <f t="array" ref="C36">IF(ROWS(C$29:C36)&lt;=$A$31,INDEX(Legislation!$C$5:$C$16,SMALL(IF(STAGE=3,IF(STATUS=1,ROW(STATUS)-ROW(Legislation!$E$5)+1)),ROWS(C$29:C36))),"")</f>
        <v/>
      </c>
      <c r="D36" s="62"/>
      <c r="E36" s="133" t="str">
        <f t="array" ref="E36">IF(ROWS(E$29:E36)&lt;=$D$30,INDEX('Data coll &amp; ax'!$C$5:$C$13,SMALL(IF(datastage=3,IF(datastatus=0,ROW(datastatus)-ROW('Data coll &amp; ax'!$E$5)+1)),ROWS(E$29:E36))),"")</f>
        <v/>
      </c>
      <c r="F36" s="86" t="str">
        <f t="array" ref="F36">IF(ROWS(F$29:F36)&lt;=$D$31,INDEX('Data coll &amp; ax'!$C$5:$C$13,SMALL(IF(datastage=3,IF(datastatus=1,ROW(datastatus)-ROW('Data coll &amp; ax'!$E$5)+1)),ROWS(F$29:F36))),"")</f>
        <v/>
      </c>
      <c r="G36" s="53"/>
      <c r="H36" s="137" t="str">
        <f t="array" ref="H36">IF(ROWS(H$29:H36)&lt;=$G$30,INDEX('Diagnostique lab'!$C$5:$C$14,SMALL(IF(labstage=3,IF(labstatus=0,ROW(labstatus)-ROW('Diagnostique lab'!$E$5)+1)),ROWS(H$29:H36))),"")</f>
        <v/>
      </c>
      <c r="I36" s="52" t="str">
        <f t="array" ref="I36">IF(ROWS(I$29:I36)&lt;=$G$31,INDEX('Diagnostique lab'!$C$5:$C$14,SMALL(IF(labstage=3,IF(labstatus=1,ROW(labstatus)-ROW('Diagnostique lab'!$F$5)+1)),ROWS(I$29:I36))),"")</f>
        <v/>
      </c>
      <c r="J36" s="53"/>
      <c r="K36" s="133" t="str">
        <f t="array" ref="K36">IF(ROWS(K$29:K36)&lt;=$J$30,INDEX(IEC!$C$5:$C$22,SMALL(IF(iecstage=3,IF(iecstatus=0,ROW(iecstatus)-ROW(IEC!$E$5)+1)),ROWS(K$29:K36))),"")</f>
        <v/>
      </c>
      <c r="L36" s="86" t="str">
        <f t="array" ref="L36">IF(ROWS(L$29:L36)&lt;=$J$31,INDEX(IEC!$C$5:$C$22,SMALL(IF(iecstage=3,IF(iecstatus=1,ROW(iecstatus)-ROW(IEC!$E$5)+1)),ROWS(L$29:L36))),"")</f>
        <v/>
      </c>
      <c r="M36" s="57"/>
      <c r="N36" s="137" t="str">
        <f t="array" ref="N36">IF(ROWS(N$29:N36)&lt;=$M$30,INDEX('Prev &amp; Ctrl'!$C$5:$C$29,SMALL(IF(prevstage=3,IF(prevstatus=0,ROW(prevstatus)-ROW('Prev &amp; Ctrl'!$E$5)+1)),ROWS(N$29:N36))),"")</f>
        <v/>
      </c>
      <c r="O36" s="52" t="str">
        <f t="array" ref="O36">IF(ROWS(O$29:O36)&lt;=$M$31,INDEX('Prev &amp; Ctrl'!$C$5:$C$29,SMALL(IF(prevstage=3,IF(prevstatus=1,ROW(prevstatus)-ROW('Prev &amp; Ctrl'!$E$5)+1)),ROWS(O$29:O36))),"")</f>
        <v/>
      </c>
      <c r="P36" s="53"/>
      <c r="Q36" s="133" t="str">
        <f t="array" ref="Q36">IF(ROWS(Q$29:Q36)&lt;=$P$30,INDEX('Dog popn'!$C$5:C37,SMALL(IF(dogstage=3,IF(dogstatus=0,ROW(dogstatus)-ROW('Dog popn'!$E$5)+1)),ROWS(Q$29:Q36))),"")</f>
        <v/>
      </c>
      <c r="R36" s="86" t="str">
        <f t="array" ref="R36">IF(ROWS(R$29:R36)&lt;=$P$31,INDEX('Dog popn'!$C$5:$C$7,SMALL(IF(dogstage=3,IF(dogstatus=1,ROW(dogstatus)-ROW('Dog popn'!$E$5)+1)),ROWS(R$29:R36))),"")</f>
        <v/>
      </c>
      <c r="S36" s="53"/>
      <c r="T36" s="137" t="str">
        <f t="array" ref="T36">IF(ROWS(T$29:T36)&lt;=$S$30,INDEX('Questions transversales'!$C$5:$C$19,SMALL(IF(crossstage=3,IF(crossstatus=0,ROW(crossstatus)-ROW('Questions transversales'!$E$5)+1)),ROWS(T$29:T36))),"")</f>
        <v/>
      </c>
      <c r="U36" s="52" t="str">
        <f t="array" ref="U36">IF(ROWS(U$29:U36)&lt;=$S$31,INDEX('Questions transversales'!$C$5:$C$19,SMALL(IF(crossstage=3,IF(crossstatus=1,ROW(crossstatus)-ROW('Questions transversales'!$E$5)+1)),ROWS(U$29:U36))),"")</f>
        <v/>
      </c>
    </row>
    <row r="37" spans="1:21" s="51" customFormat="1">
      <c r="A37" s="145"/>
      <c r="B37" s="134" t="str">
        <f t="array" ref="B37">IF(ROWS(B$29:B37)&lt;=$A$30,INDEX(Legislation!$C$5:$C$16,SMALL(IF(STAGE=3,IF(STATUS=0,ROW(STATUS)-ROW(Legislation!$E$5)+1)),ROWS(B$29:B37))),"")</f>
        <v/>
      </c>
      <c r="C37" s="87" t="str">
        <f t="array" ref="C37">IF(ROWS(C$29:C37)&lt;=$A$31,INDEX(Legislation!$C$5:$C$16,SMALL(IF(STAGE=3,IF(STATUS=1,ROW(STATUS)-ROW(Legislation!$E$5)+1)),ROWS(C$29:C37))),"")</f>
        <v/>
      </c>
      <c r="D37" s="63"/>
      <c r="E37" s="134" t="str">
        <f t="array" ref="E37">IF(ROWS(E$29:E37)&lt;=$D$30,INDEX('Data coll &amp; ax'!$C$5:$C$13,SMALL(IF(datastage=3,IF(datastatus=0,ROW(datastatus)-ROW('Data coll &amp; ax'!$E$5)+1)),ROWS(E$29:E37))),"")</f>
        <v/>
      </c>
      <c r="F37" s="87" t="str">
        <f t="array" ref="F37">IF(ROWS(F$29:F37)&lt;=$D$31,INDEX('Data coll &amp; ax'!$C$5:$C$13,SMALL(IF(datastage=3,IF(datastatus=1,ROW(datastatus)-ROW('Data coll &amp; ax'!$E$5)+1)),ROWS(F$29:F37))),"")</f>
        <v/>
      </c>
      <c r="G37" s="55"/>
      <c r="H37" s="138" t="str">
        <f t="array" ref="H37">IF(ROWS(H$29:H37)&lt;=$G$30,INDEX('Diagnostique lab'!$C$5:$C$14,SMALL(IF(labstage=3,IF(labstatus=0,ROW(labstatus)-ROW('Diagnostique lab'!$E$5)+1)),ROWS(H$29:H37))),"")</f>
        <v/>
      </c>
      <c r="I37" s="54" t="str">
        <f t="array" ref="I37">IF(ROWS(I$29:I37)&lt;=$G$31,INDEX('Diagnostique lab'!$C$5:$C$14,SMALL(IF(labstage=3,IF(labstatus=1,ROW(labstatus)-ROW('Diagnostique lab'!$F$5)+1)),ROWS(I$29:I37))),"")</f>
        <v/>
      </c>
      <c r="J37" s="55"/>
      <c r="K37" s="134" t="str">
        <f t="array" ref="K37">IF(ROWS(K$29:K37)&lt;=$J$30,INDEX(IEC!$C$5:$C$22,SMALL(IF(iecstage=3,IF(iecstatus=0,ROW(iecstatus)-ROW(IEC!$E$5)+1)),ROWS(K$29:K37))),"")</f>
        <v/>
      </c>
      <c r="L37" s="87" t="str">
        <f t="array" ref="L37">IF(ROWS(L$29:L37)&lt;=$J$31,INDEX(IEC!$C$5:$C$22,SMALL(IF(iecstage=3,IF(iecstatus=1,ROW(iecstatus)-ROW(IEC!$E$5)+1)),ROWS(L$29:L37))),"")</f>
        <v/>
      </c>
      <c r="M37" s="58"/>
      <c r="N37" s="138" t="str">
        <f t="array" ref="N37">IF(ROWS(N$29:N37)&lt;=$M$30,INDEX('Prev &amp; Ctrl'!$C$5:$C$29,SMALL(IF(prevstage=3,IF(prevstatus=0,ROW(prevstatus)-ROW('Prev &amp; Ctrl'!$E$5)+1)),ROWS(N$29:N37))),"")</f>
        <v/>
      </c>
      <c r="O37" s="54" t="str">
        <f t="array" ref="O37">IF(ROWS(O$29:O37)&lt;=$M$31,INDEX('Prev &amp; Ctrl'!$C$5:$C$29,SMALL(IF(prevstage=3,IF(prevstatus=1,ROW(prevstatus)-ROW('Prev &amp; Ctrl'!$E$5)+1)),ROWS(O$29:O37))),"")</f>
        <v/>
      </c>
      <c r="P37" s="55"/>
      <c r="Q37" s="134" t="str">
        <f t="array" ref="Q37">IF(ROWS(Q$29:Q37)&lt;=$P$30,INDEX('Dog popn'!$C$5:C38,SMALL(IF(dogstage=3,IF(dogstatus=0,ROW(dogstatus)-ROW('Dog popn'!$E$5)+1)),ROWS(Q$29:Q37))),"")</f>
        <v/>
      </c>
      <c r="R37" s="87" t="str">
        <f t="array" ref="R37">IF(ROWS(R$29:R37)&lt;=$P$31,INDEX('Dog popn'!$C$5:$C$7,SMALL(IF(dogstage=3,IF(dogstatus=1,ROW(dogstatus)-ROW('Dog popn'!$E$5)+1)),ROWS(R$29:R37))),"")</f>
        <v/>
      </c>
      <c r="S37" s="55"/>
      <c r="T37" s="138" t="str">
        <f t="array" ref="T37">IF(ROWS(T$29:T37)&lt;=$S$30,INDEX('Questions transversales'!$C$5:$C$19,SMALL(IF(crossstage=3,IF(crossstatus=0,ROW(crossstatus)-ROW('Questions transversales'!$E$5)+1)),ROWS(T$29:T37))),"")</f>
        <v/>
      </c>
      <c r="U37" s="54" t="str">
        <f t="array" ref="U37">IF(ROWS(U$29:U37)&lt;=$S$31,INDEX('Questions transversales'!$C$5:$C$19,SMALL(IF(crossstage=3,IF(crossstatus=1,ROW(crossstatus)-ROW('Questions transversales'!$E$5)+1)),ROWS(U$29:U37))),"")</f>
        <v/>
      </c>
    </row>
    <row r="38" spans="1:21" s="51" customFormat="1" ht="56">
      <c r="A38" s="150">
        <v>4</v>
      </c>
      <c r="B38" s="131" t="str">
        <f t="array" ref="B38">IF(ROWS(B$38:B38)&lt;=$A$39,INDEX(Legislation!$C$5:$C$16,SMALL(IF(STAGE=4,IF(STATUS=0,ROW(STATUS)-ROW(Legislation!$E$5)+1)),ROWS(B$38:B38))),"")</f>
        <v/>
      </c>
      <c r="C38" s="85" t="str">
        <f t="array" ref="C38">IF(ROWS(C$38:C38)&lt;=$A$40,INDEX(Legislation!$C$5:$C$16,SMALL(IF(STAGE=4,IF(STATUS=1,ROW(STATUS)-ROW(Legislation!$E$5)+1)),ROWS(C$38:C38))),"")</f>
        <v/>
      </c>
      <c r="D38" s="61"/>
      <c r="E38" s="131" t="str">
        <f t="array" ref="E38">IF(ROWS(E$38:E38)&lt;=$D$39,INDEX('Data coll &amp; ax'!$C$5:$C$13,SMALL(IF(datastage=4,IF(datastatus=0,ROW(datastatus)-ROW('Data coll &amp; ax'!$E$5)+1)),ROWS(E$38:E38))),"")</f>
        <v/>
      </c>
      <c r="F38" s="85" t="str">
        <f t="array" ref="F38">IF(ROWS(F$38:F38)&lt;=$D$40,INDEX('Data coll &amp; ax'!$C$5:$C$13,SMALL(IF(datastage=4,IF(datastatus=1,ROW(datastatus)-ROW('Data coll &amp; ax'!$E$5)+1)),ROWS(F$38:F38))),"")</f>
        <v/>
      </c>
      <c r="G38" s="50"/>
      <c r="H38" s="136" t="str">
        <f t="array" ref="H38">IF(ROWS(H$38:H38)&lt;=$G$39,INDEX('Diagnostique lab'!$C$5:$C$14,SMALL(IF(labstage=4,IF(labstatus=0,ROW(labstatus)-ROW('Diagnostique lab'!$E$5)+1)),ROWS(H$38:H38))),"")</f>
        <v/>
      </c>
      <c r="I38" s="49" t="str">
        <f t="array" ref="I38">IF(ROWS(I$38:I38)&lt;=$G$40,INDEX('Diagnostique lab'!$C$5:$C$14,SMALL(IF(labstage=4,IF(labstatus=1,ROW(labstatus)-ROW('Diagnostique lab'!$F$5)+1)),ROWS(I$38:I38))),"")</f>
        <v/>
      </c>
      <c r="J38" s="50"/>
      <c r="K38" s="131" t="str">
        <f t="array" ref="K38">IF(ROWS(K$38:K38)&lt;=$J$39,INDEX(IEC!$C$5:$C$22,SMALL(IF(iecstage=4,IF(iecstatus=0,ROW(iecstatus)-ROW(IEC!$E$5)+1)),ROWS(K$38:K38))),"")</f>
        <v>Des programmes de sensibilisation continus , ont été revus à se concentrer sur le maintien de la liberté et de l'élimination des efforts</v>
      </c>
      <c r="L38" s="85" t="str">
        <f t="array" ref="L38">IF(ROWS(L$38:L38)&lt;=$J$40,INDEX(IEC!$C$5:$C$22,SMALL(IF(iecstage=4,IF(iecstatus=1,ROW(iecstatus)-ROW(IEC!$E$5)+1)),ROWS(L$38:L38))),"")</f>
        <v/>
      </c>
      <c r="M38" s="56"/>
      <c r="N38" s="136" t="str">
        <f t="array" ref="N38">IF(ROWS(N$38:N38)&lt;=$M$39,INDEX('Prev &amp; Ctrl'!$C$5:$C$29,SMALL(IF(prevstage=4,IF(prevstatus=0,ROW(prevstatus)-ROW('Prev &amp; Ctrl'!$E$5)+1)),ROWS(N$38:N38))),"")</f>
        <v>Des campagnes de vaccination de chiens sont maintenus dans les zones où la rage canine est toujours présent ou lorsque le justifier autrement</v>
      </c>
      <c r="O38" s="49" t="str">
        <f t="array" ref="O38">IF(ROWS(O$38:O38)&lt;=$M$40,INDEX('Prev &amp; Ctrl'!$C$5:$C$29,SMALL(IF(prevstage=4,IF(prevstatus=1,ROW(prevstatus)-ROW('Prev &amp; Ctrl'!$E$5)+1)),ROWS(O$38:O38))),"")</f>
        <v>Tous les professionnels à risque de contracter la rage ont été vaccinés</v>
      </c>
      <c r="P38" s="50"/>
      <c r="Q38" s="131" t="str">
        <f t="array" ref="Q38">IF(ROWS(Q$29:Q38)&lt;=$P$39,INDEX('Dog popn'!$C$5:C39,SMALL(IF(dogstage=4,IF(dogstatus=0,ROW(dogstatus)-ROW('Dog popn'!$E$5)+1)),ROWS(Q$38:Q38))),"")</f>
        <v/>
      </c>
      <c r="R38" s="85" t="str">
        <f t="array" ref="R38">IF(ROWS(R$38:R38)&lt;=$P$40,INDEX('Dog popn'!$C$5:$C$7,SMALL(IF(dogstage=4,IF(dogstatus=1,ROW(dogstatus)-ROW('Dog popn'!$E$5)+1)),ROWS(R$38:R38))),"")</f>
        <v/>
      </c>
      <c r="S38" s="50"/>
      <c r="T38" s="136" t="str">
        <f t="array" ref="T38">IF(ROWS(T$38:T38)&lt;=$S$39,INDEX('Questions transversales'!$C$5:$C$19,SMALL(IF(crossstage=4,IF(crossstatus=0,ROW(crossstatus)-ROW('Questions transversales'!$E$5)+1)),ROWS(T$38:T38))),"")</f>
        <v>Situation d' épidémiologie ( y compris la faune , le cas échéant ) a été examiné et la stratégie nationale adaptée au besoin</v>
      </c>
      <c r="U38" s="49" t="str">
        <f t="array" ref="U38">IF(ROWS(U$38:U38)&lt;=$S$40,INDEX('Questions transversales'!$C$5:$C$19,SMALL(IF(crossstage=4,IF(crossstatus=1,ROW(crossstatus)-ROW('Questions transversales'!$E$5)+1)),ROWS(U$38:U38))),"")</f>
        <v>Dialogue avec les pays voisins ou d'autres pays a commencé , l'établissement d' un plan transfrontalier</v>
      </c>
    </row>
    <row r="39" spans="1:21" s="51" customFormat="1" ht="70">
      <c r="A39" s="143">
        <f>SUMPRODUCT((STAGE=4)*(STATUS=0))</f>
        <v>0</v>
      </c>
      <c r="B39" s="133" t="str">
        <f t="array" ref="B39">IF(ROWS(B$38:B39)&lt;=$A$39,INDEX(Legislation!$C$5:$C$16,SMALL(IF(STAGE=4,IF(STATUS=0,ROW(STATUS)-ROW(Legislation!$E$5)+1)),ROWS(B$38:B39))),"")</f>
        <v/>
      </c>
      <c r="C39" s="86" t="str">
        <f t="array" ref="C39">IF(ROWS(C$38:C39)&lt;=$A$40,INDEX(Legislation!$C$5:$C$16,SMALL(IF(STAGE=4,IF(STATUS=1,ROW(STATUS)-ROW(Legislation!$E$5)+1)),ROWS(C$38:C39))),"")</f>
        <v/>
      </c>
      <c r="D39" s="62">
        <f>SUMPRODUCT((datastage=4)*(datastatus=0))</f>
        <v>0</v>
      </c>
      <c r="E39" s="133" t="str">
        <f t="array" ref="E39">IF(ROWS(E$38:E39)&lt;=$D$39,INDEX('Data coll &amp; ax'!$C$5:$C$13,SMALL(IF(datastage=4,IF(datastatus=0,ROW(datastatus)-ROW('Data coll &amp; ax'!$E$5)+1)),ROWS(E$38:E39))),"")</f>
        <v/>
      </c>
      <c r="F39" s="86" t="str">
        <f t="array" ref="F39">IF(ROWS(F$38:F39)&lt;=$D$40,INDEX('Data coll &amp; ax'!$C$5:$C$13,SMALL(IF(datastage=4,IF(datastatus=1,ROW(datastatus)-ROW('Data coll &amp; ax'!$E$5)+1)),ROWS(F$38:F39))),"")</f>
        <v/>
      </c>
      <c r="G39" s="53">
        <f>SUMPRODUCT((labstage=4)*(labstatus=0))</f>
        <v>0</v>
      </c>
      <c r="H39" s="137" t="str">
        <f t="array" ref="H39">IF(ROWS(H$38:H39)&lt;=$G$39,INDEX('Diagnostique lab'!$C$5:$C$14,SMALL(IF(labstage=4,IF(labstatus=0,ROW(labstatus)-ROW('Diagnostique lab'!$E$5)+1)),ROWS(H$38:H39))),"")</f>
        <v/>
      </c>
      <c r="I39" s="52" t="str">
        <f t="array" ref="I39">IF(ROWS(I$38:I39)&lt;=$G$40,INDEX('Diagnostique lab'!$C$5:$C$14,SMALL(IF(labstage=4,IF(labstatus=1,ROW(labstatus)-ROW('Diagnostique lab'!$F$5)+1)),ROWS(I$38:I39))),"")</f>
        <v/>
      </c>
      <c r="J39" s="53">
        <f>SUMPRODUCT((iecstage=4)*(iecstatus=0))</f>
        <v>1</v>
      </c>
      <c r="K39" s="133" t="str">
        <f t="array" ref="K39">IF(ROWS(K$38:K39)&lt;=$J$39,INDEX(IEC!$C$5:$C$22,SMALL(IF(iecstage=4,IF(iecstatus=0,ROW(iecstatus)-ROW(IEC!$E$5)+1)),ROWS(K$38:K39))),"")</f>
        <v/>
      </c>
      <c r="L39" s="86" t="str">
        <f t="array" ref="L39">IF(ROWS(L$38:L39)&lt;=$J$40,INDEX(IEC!$C$5:$C$22,SMALL(IF(iecstage=4,IF(iecstatus=1,ROW(iecstatus)-ROW(IEC!$E$5)+1)),ROWS(L$38:L39))),"")</f>
        <v/>
      </c>
      <c r="M39" s="57">
        <f>SUMPRODUCT((prevstage=4)*(prevstatus=0))</f>
        <v>4</v>
      </c>
      <c r="N39" s="137" t="str">
        <f t="array" ref="N39">IF(ROWS(N$38:N39)&lt;=$M$39,INDEX('Prev &amp; Ctrl'!$C$5:$C$29,SMALL(IF(prevstage=4,IF(prevstatus=0,ROW(prevstatus)-ROW('Prev &amp; Ctrl'!$E$5)+1)),ROWS(N$38:N39))),"")</f>
        <v>Les mesures appliquées dans les zones franches chien rage désigné</v>
      </c>
      <c r="O39" s="52" t="str">
        <f t="array" ref="O39">IF(ROWS(O$38:O39)&lt;=$M$40,INDEX('Prev &amp; Ctrl'!$C$5:$C$29,SMALL(IF(prevstage=4,IF(prevstatus=1,ROW(prevstatus)-ROW('Prev &amp; Ctrl'!$E$5)+1)),ROWS(O$38:O39))),"")</f>
        <v/>
      </c>
      <c r="P39" s="53">
        <f>SUMPRODUCT((dogstage=4)*(dogstatus=0))</f>
        <v>0</v>
      </c>
      <c r="Q39" s="133" t="str">
        <f t="array" ref="Q39">IF(ROWS(Q$29:Q39)&lt;=$P$39,INDEX('Dog popn'!$C$5:C40,SMALL(IF(dogstage=4,IF(dogstatus=0,ROW(dogstatus)-ROW('Dog popn'!$E$5)+1)),ROWS(Q$38:Q39))),"")</f>
        <v/>
      </c>
      <c r="R39" s="86" t="str">
        <f t="array" ref="R39">IF(ROWS(R$38:R39)&lt;=$P$40,INDEX('Dog popn'!$C$5:$C$7,SMALL(IF(dogstage=4,IF(dogstatus=1,ROW(dogstatus)-ROW('Dog popn'!$E$5)+1)),ROWS(R$38:R39))),"")</f>
        <v/>
      </c>
      <c r="S39" s="53">
        <f>SUMPRODUCT((crossstage=4)*(crossstatus=0))</f>
        <v>1</v>
      </c>
      <c r="T39" s="137" t="str">
        <f t="array" ref="T39">IF(ROWS(T$38:T39)&lt;=$S$39,INDEX('Questions transversales'!$C$5:$C$19,SMALL(IF(crossstage=4,IF(crossstatus=0,ROW(crossstatus)-ROW('Questions transversales'!$E$5)+1)),ROWS(T$38:T39))),"")</f>
        <v/>
      </c>
      <c r="U39" s="52" t="str">
        <f t="array" ref="U39">IF(ROWS(U$38:U39)&lt;=$S$40,INDEX('Questions transversales'!$C$5:$C$19,SMALL(IF(crossstage=4,IF(crossstatus=1,ROW(crossstatus)-ROW('Questions transversales'!$E$5)+1)),ROWS(U$38:U39))),"")</f>
        <v>Mesures d'inspection frontaliers vétérinaires et de quarantaine sont entièrement mises en œuvre conformément à la réglementation nationale</v>
      </c>
    </row>
    <row r="40" spans="1:21" s="51" customFormat="1" ht="70">
      <c r="A40" s="143">
        <f>SUMPRODUCT((STAGE=4)*(STATUS=1))</f>
        <v>0</v>
      </c>
      <c r="B40" s="133" t="str">
        <f t="array" ref="B40">IF(ROWS(B$38:B40)&lt;=$A$39,INDEX(Legislation!$C$5:$C$16,SMALL(IF(STAGE=4,IF(STATUS=0,ROW(STATUS)-ROW(Legislation!$E$5)+1)),ROWS(B$38:B40))),"")</f>
        <v/>
      </c>
      <c r="C40" s="86" t="str">
        <f t="array" ref="C40">IF(ROWS(C$38:C40)&lt;=$A$40,INDEX(Legislation!$C$5:$C$16,SMALL(IF(STAGE=4,IF(STATUS=1,ROW(STATUS)-ROW(Legislation!$E$5)+1)),ROWS(C$38:C40))),"")</f>
        <v/>
      </c>
      <c r="D40" s="62">
        <f>SUMPRODUCT((datastage=4)*(datastatus=1))</f>
        <v>0</v>
      </c>
      <c r="E40" s="133" t="str">
        <f t="array" ref="E40">IF(ROWS(E$38:E40)&lt;=$D$39,INDEX('Data coll &amp; ax'!$C$5:$C$13,SMALL(IF(datastage=4,IF(datastatus=0,ROW(datastatus)-ROW('Data coll &amp; ax'!$E$5)+1)),ROWS(E$38:E40))),"")</f>
        <v/>
      </c>
      <c r="F40" s="86" t="str">
        <f t="array" ref="F40">IF(ROWS(F$38:F40)&lt;=$D$40,INDEX('Data coll &amp; ax'!$C$5:$C$13,SMALL(IF(datastage=4,IF(datastatus=1,ROW(datastatus)-ROW('Data coll &amp; ax'!$E$5)+1)),ROWS(F$38:F40))),"")</f>
        <v/>
      </c>
      <c r="G40" s="53">
        <f>SUMPRODUCT((labstage=4)*(labstatus=1))</f>
        <v>0</v>
      </c>
      <c r="H40" s="137" t="str">
        <f t="array" ref="H40">IF(ROWS(H$38:H40)&lt;=$G$39,INDEX('Diagnostique lab'!$C$5:$C$14,SMALL(IF(labstage=4,IF(labstatus=0,ROW(labstatus)-ROW('Diagnostique lab'!$E$5)+1)),ROWS(H$38:H40))),"")</f>
        <v/>
      </c>
      <c r="I40" s="52" t="str">
        <f t="array" ref="I40">IF(ROWS(I$38:I40)&lt;=$G$40,INDEX('Diagnostique lab'!$C$5:$C$14,SMALL(IF(labstage=4,IF(labstatus=1,ROW(labstatus)-ROW('Diagnostique lab'!$F$5)+1)),ROWS(I$38:I40))),"")</f>
        <v/>
      </c>
      <c r="J40" s="53">
        <f>SUMPRODUCT((iecstage=4)*(iecstatus=1))</f>
        <v>0</v>
      </c>
      <c r="K40" s="133" t="str">
        <f t="array" ref="K40">IF(ROWS(K$38:K40)&lt;=$J$39,INDEX(IEC!$C$5:$C$22,SMALL(IF(iecstage=4,IF(iecstatus=0,ROW(iecstatus)-ROW(IEC!$E$5)+1)),ROWS(K$38:K40))),"")</f>
        <v/>
      </c>
      <c r="L40" s="86" t="str">
        <f t="array" ref="L40">IF(ROWS(L$38:L40)&lt;=$J$40,INDEX(IEC!$C$5:$C$22,SMALL(IF(iecstage=4,IF(iecstatus=1,ROW(iecstatus)-ROW(IEC!$E$5)+1)),ROWS(L$38:L40))),"")</f>
        <v/>
      </c>
      <c r="M40" s="57">
        <f>SUMPRODUCT((prevstage=4)*(prevstatus=1))</f>
        <v>1</v>
      </c>
      <c r="N40" s="137" t="str">
        <f t="array" ref="N40">IF(ROWS(N$38:N40)&lt;=$M$39,INDEX('Prev &amp; Ctrl'!$C$5:$C$29,SMALL(IF(prevstage=4,IF(prevstatus=0,ROW(prevstatus)-ROW('Prev &amp; Ctrl'!$E$5)+1)),ROWS(N$38:N40))),"")</f>
        <v>Zones libres de la rage canine et l'absence de rage humaine ont été évaluées et vérifiées conformément à la lutte contre la rage et une stratégie nationale de prévention</v>
      </c>
      <c r="O40" s="52" t="str">
        <f t="array" ref="O40">IF(ROWS(O$38:O40)&lt;=$M$40,INDEX('Prev &amp; Ctrl'!$C$5:$C$29,SMALL(IF(prevstage=4,IF(prevstatus=1,ROW(prevstatus)-ROW('Prev &amp; Ctrl'!$E$5)+1)),ROWS(O$38:O40))),"")</f>
        <v/>
      </c>
      <c r="P40" s="53">
        <f>SUMPRODUCT((dogstage=4)*(dogstatus=1))</f>
        <v>0</v>
      </c>
      <c r="Q40" s="133" t="str">
        <f t="array" ref="Q40">IF(ROWS(Q$29:Q40)&lt;=$P$39,INDEX('Dog popn'!$C$5:C41,SMALL(IF(dogstage=4,IF(dogstatus=0,ROW(dogstatus)-ROW('Dog popn'!$E$5)+1)),ROWS(Q$38:Q40))),"")</f>
        <v/>
      </c>
      <c r="R40" s="86" t="str">
        <f t="array" ref="R40">IF(ROWS(R$38:R40)&lt;=$P$40,INDEX('Dog popn'!$C$5:$C$7,SMALL(IF(dogstage=4,IF(dogstatus=1,ROW(dogstatus)-ROW('Dog popn'!$E$5)+1)),ROWS(R$38:R40))),"")</f>
        <v/>
      </c>
      <c r="S40" s="53">
        <f>SUMPRODUCT((crossstage=4)*(crossstatus=1))</f>
        <v>2</v>
      </c>
      <c r="T40" s="137" t="str">
        <f t="array" ref="T40">IF(ROWS(T$38:T40)&lt;=$S$39,INDEX('Questions transversales'!$C$5:$C$19,SMALL(IF(crossstage=4,IF(crossstatus=0,ROW(crossstatus)-ROW('Questions transversales'!$E$5)+1)),ROWS(T$38:T40))),"")</f>
        <v/>
      </c>
      <c r="U40" s="52" t="str">
        <f t="array" ref="U40">IF(ROWS(U$38:U40)&lt;=$S$40,INDEX('Questions transversales'!$C$5:$C$19,SMALL(IF(crossstage=4,IF(crossstatus=1,ROW(crossstatus)-ROW('Questions transversales'!$E$5)+1)),ROWS(U$38:U40))),"")</f>
        <v/>
      </c>
    </row>
    <row r="41" spans="1:21" s="51" customFormat="1" ht="42">
      <c r="A41" s="144"/>
      <c r="B41" s="133" t="str">
        <f t="array" ref="B41">IF(ROWS(B$38:B41)&lt;=$A$39,INDEX(Legislation!$C$5:$C$16,SMALL(IF(STAGE=4,IF(STATUS=0,ROW(STATUS)-ROW(Legislation!$E$5)+1)),ROWS(B$38:B41))),"")</f>
        <v/>
      </c>
      <c r="C41" s="86" t="str">
        <f t="array" ref="C41">IF(ROWS(C$38:C41)&lt;=$A$40,INDEX(Legislation!$C$5:$C$16,SMALL(IF(STAGE=4,IF(STATUS=1,ROW(STATUS)-ROW(Legislation!$E$5)+1)),ROWS(C$38:C41))),"")</f>
        <v/>
      </c>
      <c r="D41" s="62"/>
      <c r="E41" s="133" t="str">
        <f t="array" ref="E41">IF(ROWS(E$38:E41)&lt;=$D$39,INDEX('Data coll &amp; ax'!$C$5:$C$13,SMALL(IF(datastage=4,IF(datastatus=0,ROW(datastatus)-ROW('Data coll &amp; ax'!$E$5)+1)),ROWS(E$38:E41))),"")</f>
        <v/>
      </c>
      <c r="F41" s="86" t="str">
        <f t="array" ref="F41">IF(ROWS(F$38:F41)&lt;=$D$40,INDEX('Data coll &amp; ax'!$C$5:$C$13,SMALL(IF(datastage=4,IF(datastatus=1,ROW(datastatus)-ROW('Data coll &amp; ax'!$E$5)+1)),ROWS(F$38:F41))),"")</f>
        <v/>
      </c>
      <c r="G41" s="53"/>
      <c r="H41" s="137" t="str">
        <f t="array" ref="H41">IF(ROWS(H$38:H41)&lt;=$G$39,INDEX('Diagnostique lab'!$C$5:$C$14,SMALL(IF(labstage=4,IF(labstatus=0,ROW(labstatus)-ROW('Diagnostique lab'!$E$5)+1)),ROWS(H$38:H41))),"")</f>
        <v/>
      </c>
      <c r="I41" s="52" t="str">
        <f t="array" ref="I41">IF(ROWS(I$38:I41)&lt;=$G$40,INDEX('Diagnostique lab'!$C$5:$C$14,SMALL(IF(labstage=4,IF(labstatus=1,ROW(labstatus)-ROW('Diagnostique lab'!$F$5)+1)),ROWS(I$38:I41))),"")</f>
        <v/>
      </c>
      <c r="J41" s="53"/>
      <c r="K41" s="133" t="str">
        <f t="array" ref="K41">IF(ROWS(K$38:K41)&lt;=$J$39,INDEX(IEC!$C$5:$C$22,SMALL(IF(iecstage=4,IF(iecstatus=0,ROW(iecstatus)-ROW(IEC!$E$5)+1)),ROWS(K$38:K41))),"")</f>
        <v/>
      </c>
      <c r="L41" s="86" t="str">
        <f t="array" ref="L41">IF(ROWS(L$38:L41)&lt;=$J$40,INDEX(IEC!$C$5:$C$22,SMALL(IF(iecstage=4,IF(iecstatus=1,ROW(iecstatus)-ROW(IEC!$E$5)+1)),ROWS(L$38:L41))),"")</f>
        <v/>
      </c>
      <c r="M41" s="57"/>
      <c r="N41" s="137" t="str">
        <f t="array" ref="N41">IF(ROWS(N$38:N41)&lt;=$M$39,INDEX('Prev &amp; Ctrl'!$C$5:$C$29,SMALL(IF(prevstage=4,IF(prevstatus=0,ROW(prevstatus)-ROW('Prev &amp; Ctrl'!$E$5)+1)),ROWS(N$38:N41))),"")</f>
        <v>Un plan à long terme , y compris la réponse d'urgence aux épidémies suivante réintroduction a été développé</v>
      </c>
      <c r="O41" s="52" t="str">
        <f t="array" ref="O41">IF(ROWS(O$38:O41)&lt;=$M$40,INDEX('Prev &amp; Ctrl'!$C$5:$C$29,SMALL(IF(prevstage=4,IF(prevstatus=1,ROW(prevstatus)-ROW('Prev &amp; Ctrl'!$E$5)+1)),ROWS(O$38:O41))),"")</f>
        <v/>
      </c>
      <c r="P41" s="53"/>
      <c r="Q41" s="133" t="str">
        <f t="array" ref="Q41">IF(ROWS(Q$29:Q41)&lt;=$P$39,INDEX('Dog popn'!$C$5:C42,SMALL(IF(dogstage=4,IF(dogstatus=0,ROW(dogstatus)-ROW('Dog popn'!$E$5)+1)),ROWS(Q$38:Q41))),"")</f>
        <v/>
      </c>
      <c r="R41" s="86" t="str">
        <f t="array" ref="R41">IF(ROWS(R$38:R41)&lt;=$P$40,INDEX('Dog popn'!$C$5:$C$7,SMALL(IF(dogstage=4,IF(dogstatus=1,ROW(dogstatus)-ROW('Dog popn'!$E$5)+1)),ROWS(R$38:R41))),"")</f>
        <v/>
      </c>
      <c r="S41" s="53"/>
      <c r="T41" s="137" t="str">
        <f t="array" ref="T41">IF(ROWS(T$38:T41)&lt;=$S$39,INDEX('Questions transversales'!$C$5:$C$19,SMALL(IF(crossstage=4,IF(crossstatus=0,ROW(crossstatus)-ROW('Questions transversales'!$E$5)+1)),ROWS(T$38:T41))),"")</f>
        <v/>
      </c>
      <c r="U41" s="52" t="str">
        <f t="array" ref="U41">IF(ROWS(U$38:U41)&lt;=$S$40,INDEX('Questions transversales'!$C$5:$C$19,SMALL(IF(crossstage=4,IF(crossstatus=1,ROW(crossstatus)-ROW('Questions transversales'!$E$5)+1)),ROWS(U$38:U41))),"")</f>
        <v/>
      </c>
    </row>
    <row r="42" spans="1:21" s="51" customFormat="1">
      <c r="A42" s="144"/>
      <c r="B42" s="133" t="str">
        <f t="array" ref="B42">IF(ROWS(B$38:B42)&lt;=$A$39,INDEX(Legislation!$C$5:$C$16,SMALL(IF(STAGE=4,IF(STATUS=0,ROW(STATUS)-ROW(Legislation!$E$5)+1)),ROWS(B$38:B42))),"")</f>
        <v/>
      </c>
      <c r="C42" s="86" t="str">
        <f t="array" ref="C42">IF(ROWS(C$38:C42)&lt;=$A$40,INDEX(Legislation!$C$5:$C$16,SMALL(IF(STAGE=4,IF(STATUS=1,ROW(STATUS)-ROW(Legislation!$E$5)+1)),ROWS(C$38:C42))),"")</f>
        <v/>
      </c>
      <c r="D42" s="62"/>
      <c r="E42" s="133" t="str">
        <f t="array" ref="E42">IF(ROWS(E$38:E42)&lt;=$D$39,INDEX('Data coll &amp; ax'!$C$5:$C$13,SMALL(IF(datastage=4,IF(datastatus=0,ROW(datastatus)-ROW('Data coll &amp; ax'!$E$5)+1)),ROWS(E$38:E42))),"")</f>
        <v/>
      </c>
      <c r="F42" s="86" t="str">
        <f t="array" ref="F42">IF(ROWS(F$38:F42)&lt;=$D$40,INDEX('Data coll &amp; ax'!$C$5:$C$13,SMALL(IF(datastage=4,IF(datastatus=1,ROW(datastatus)-ROW('Data coll &amp; ax'!$E$5)+1)),ROWS(F$38:F42))),"")</f>
        <v/>
      </c>
      <c r="G42" s="53"/>
      <c r="H42" s="137" t="str">
        <f t="array" ref="H42">IF(ROWS(H$38:H42)&lt;=$G$39,INDEX('Diagnostique lab'!$C$5:$C$14,SMALL(IF(labstage=4,IF(labstatus=0,ROW(labstatus)-ROW('Diagnostique lab'!$E$5)+1)),ROWS(H$38:H42))),"")</f>
        <v/>
      </c>
      <c r="I42" s="52" t="str">
        <f t="array" ref="I42">IF(ROWS(I$38:I42)&lt;=$G$40,INDEX('Diagnostique lab'!$C$5:$C$14,SMALL(IF(labstage=4,IF(labstatus=1,ROW(labstatus)-ROW('Diagnostique lab'!$F$5)+1)),ROWS(I$38:I42))),"")</f>
        <v/>
      </c>
      <c r="J42" s="53"/>
      <c r="K42" s="133" t="str">
        <f t="array" ref="K42">IF(ROWS(K$38:K42)&lt;=$J$39,INDEX(IEC!$C$5:$C$22,SMALL(IF(iecstage=4,IF(iecstatus=0,ROW(iecstatus)-ROW(IEC!$E$5)+1)),ROWS(K$38:K42))),"")</f>
        <v/>
      </c>
      <c r="L42" s="86" t="str">
        <f t="array" ref="L42">IF(ROWS(L$38:L42)&lt;=$J$40,INDEX(IEC!$C$5:$C$22,SMALL(IF(iecstage=4,IF(iecstatus=1,ROW(iecstatus)-ROW(IEC!$E$5)+1)),ROWS(L$38:L42))),"")</f>
        <v/>
      </c>
      <c r="M42" s="57"/>
      <c r="N42" s="137" t="str">
        <f t="array" ref="N42">IF(ROWS(N$38:N42)&lt;=$M$39,INDEX('Prev &amp; Ctrl'!$C$5:$C$29,SMALL(IF(prevstage=4,IF(prevstatus=0,ROW(prevstatus)-ROW('Prev &amp; Ctrl'!$E$5)+1)),ROWS(N$38:N42))),"")</f>
        <v/>
      </c>
      <c r="O42" s="52" t="str">
        <f t="array" ref="O42">IF(ROWS(O$38:O42)&lt;=$M$40,INDEX('Prev &amp; Ctrl'!$C$5:$C$29,SMALL(IF(prevstage=4,IF(prevstatus=1,ROW(prevstatus)-ROW('Prev &amp; Ctrl'!$E$5)+1)),ROWS(O$38:O42))),"")</f>
        <v/>
      </c>
      <c r="P42" s="53"/>
      <c r="Q42" s="133" t="str">
        <f t="array" ref="Q42">IF(ROWS(Q$29:Q42)&lt;=$P$39,INDEX('Dog popn'!$C$5:C43,SMALL(IF(dogstage=4,IF(dogstatus=0,ROW(dogstatus)-ROW('Dog popn'!$E$5)+1)),ROWS(Q$38:Q42))),"")</f>
        <v/>
      </c>
      <c r="R42" s="86" t="str">
        <f t="array" ref="R42">IF(ROWS(R$38:R42)&lt;=$P$40,INDEX('Dog popn'!$C$5:$C$7,SMALL(IF(dogstage=4,IF(dogstatus=1,ROW(dogstatus)-ROW('Dog popn'!$E$5)+1)),ROWS(R$38:R42))),"")</f>
        <v/>
      </c>
      <c r="S42" s="53"/>
      <c r="T42" s="137" t="str">
        <f t="array" ref="T42">IF(ROWS(T$38:T42)&lt;=$S$39,INDEX('Questions transversales'!$C$5:$C$19,SMALL(IF(crossstage=4,IF(crossstatus=0,ROW(crossstatus)-ROW('Questions transversales'!$E$5)+1)),ROWS(T$38:T42))),"")</f>
        <v/>
      </c>
      <c r="U42" s="52" t="str">
        <f t="array" ref="U42">IF(ROWS(U$38:U42)&lt;=$S$40,INDEX('Questions transversales'!$C$5:$C$19,SMALL(IF(crossstage=4,IF(crossstatus=1,ROW(crossstatus)-ROW('Questions transversales'!$E$5)+1)),ROWS(U$38:U42))),"")</f>
        <v/>
      </c>
    </row>
    <row r="43" spans="1:21" s="51" customFormat="1">
      <c r="A43" s="144"/>
      <c r="B43" s="133" t="str">
        <f t="array" ref="B43">IF(ROWS(B$38:B43)&lt;=$A$39,INDEX(Legislation!$C$5:$C$16,SMALL(IF(STAGE=4,IF(STATUS=0,ROW(STATUS)-ROW(Legislation!$E$5)+1)),ROWS(B$38:B43))),"")</f>
        <v/>
      </c>
      <c r="C43" s="86" t="str">
        <f t="array" ref="C43">IF(ROWS(C$38:C43)&lt;=$A$40,INDEX(Legislation!$C$5:$C$16,SMALL(IF(STAGE=4,IF(STATUS=1,ROW(STATUS)-ROW(Legislation!$E$5)+1)),ROWS(C$38:C43))),"")</f>
        <v/>
      </c>
      <c r="D43" s="62"/>
      <c r="E43" s="133" t="str">
        <f t="array" ref="E43">IF(ROWS(E$38:E43)&lt;=$D$39,INDEX('Data coll &amp; ax'!$C$5:$C$13,SMALL(IF(datastage=4,IF(datastatus=0,ROW(datastatus)-ROW('Data coll &amp; ax'!$E$5)+1)),ROWS(E$38:E43))),"")</f>
        <v/>
      </c>
      <c r="F43" s="86" t="str">
        <f t="array" ref="F43">IF(ROWS(F$38:F43)&lt;=$D$40,INDEX('Data coll &amp; ax'!$C$5:$C$13,SMALL(IF(datastage=4,IF(datastatus=1,ROW(datastatus)-ROW('Data coll &amp; ax'!$E$5)+1)),ROWS(F$38:F43))),"")</f>
        <v/>
      </c>
      <c r="G43" s="53"/>
      <c r="H43" s="137" t="str">
        <f t="array" ref="H43">IF(ROWS(H$38:H43)&lt;=$G$39,INDEX('Diagnostique lab'!$C$5:$C$14,SMALL(IF(labstage=4,IF(labstatus=0,ROW(labstatus)-ROW('Diagnostique lab'!$E$5)+1)),ROWS(H$38:H43))),"")</f>
        <v/>
      </c>
      <c r="I43" s="52" t="str">
        <f t="array" ref="I43">IF(ROWS(I$38:I43)&lt;=$G$40,INDEX('Diagnostique lab'!$C$5:$C$14,SMALL(IF(labstage=4,IF(labstatus=1,ROW(labstatus)-ROW('Diagnostique lab'!$F$5)+1)),ROWS(I$38:I43))),"")</f>
        <v/>
      </c>
      <c r="J43" s="53"/>
      <c r="K43" s="133" t="str">
        <f t="array" ref="K43">IF(ROWS(K$38:K43)&lt;=$J$39,INDEX(IEC!$C$5:$C$22,SMALL(IF(iecstage=4,IF(iecstatus=0,ROW(iecstatus)-ROW(IEC!$E$5)+1)),ROWS(K$38:K43))),"")</f>
        <v/>
      </c>
      <c r="L43" s="86" t="str">
        <f t="array" ref="L43">IF(ROWS(L$38:L43)&lt;=$J$40,INDEX(IEC!$C$5:$C$22,SMALL(IF(iecstage=4,IF(iecstatus=1,ROW(iecstatus)-ROW(IEC!$E$5)+1)),ROWS(L$38:L43))),"")</f>
        <v/>
      </c>
      <c r="M43" s="57"/>
      <c r="N43" s="137" t="str">
        <f t="array" ref="N43">IF(ROWS(N$38:N43)&lt;=$M$39,INDEX('Prev &amp; Ctrl'!$C$5:$C$29,SMALL(IF(prevstage=4,IF(prevstatus=0,ROW(prevstatus)-ROW('Prev &amp; Ctrl'!$E$5)+1)),ROWS(N$38:N43))),"")</f>
        <v/>
      </c>
      <c r="O43" s="52" t="str">
        <f t="array" ref="O43">IF(ROWS(O$38:O43)&lt;=$M$40,INDEX('Prev &amp; Ctrl'!$C$5:$C$29,SMALL(IF(prevstage=4,IF(prevstatus=1,ROW(prevstatus)-ROW('Prev &amp; Ctrl'!$E$5)+1)),ROWS(O$38:O43))),"")</f>
        <v/>
      </c>
      <c r="P43" s="53"/>
      <c r="Q43" s="133" t="str">
        <f t="array" ref="Q43">IF(ROWS(Q$29:Q43)&lt;=$P$39,INDEX('Dog popn'!$C$5:C44,SMALL(IF(dogstage=4,IF(dogstatus=0,ROW(dogstatus)-ROW('Dog popn'!$E$5)+1)),ROWS(Q$38:Q43))),"")</f>
        <v/>
      </c>
      <c r="R43" s="86" t="str">
        <f t="array" ref="R43">IF(ROWS(R$38:R43)&lt;=$P$40,INDEX('Dog popn'!$C$5:$C$7,SMALL(IF(dogstage=4,IF(dogstatus=1,ROW(dogstatus)-ROW('Dog popn'!$E$5)+1)),ROWS(R$38:R43))),"")</f>
        <v/>
      </c>
      <c r="S43" s="53"/>
      <c r="T43" s="137" t="str">
        <f t="array" ref="T43">IF(ROWS(T$38:T43)&lt;=$S$39,INDEX('Questions transversales'!$C$5:$C$19,SMALL(IF(crossstage=4,IF(crossstatus=0,ROW(crossstatus)-ROW('Questions transversales'!$E$5)+1)),ROWS(T$38:T43))),"")</f>
        <v/>
      </c>
      <c r="U43" s="52" t="str">
        <f t="array" ref="U43">IF(ROWS(U$38:U43)&lt;=$S$40,INDEX('Questions transversales'!$C$5:$C$19,SMALL(IF(crossstage=4,IF(crossstatus=1,ROW(crossstatus)-ROW('Questions transversales'!$E$5)+1)),ROWS(U$38:U43))),"")</f>
        <v/>
      </c>
    </row>
    <row r="44" spans="1:21" s="51" customFormat="1">
      <c r="A44" s="144"/>
      <c r="B44" s="133" t="str">
        <f t="array" ref="B44">IF(ROWS(B$38:B44)&lt;=$A$39,INDEX(Legislation!$C$5:$C$16,SMALL(IF(STAGE=4,IF(STATUS=0,ROW(STATUS)-ROW(Legislation!$E$5)+1)),ROWS(B$38:B44))),"")</f>
        <v/>
      </c>
      <c r="C44" s="86" t="str">
        <f t="array" ref="C44">IF(ROWS(C$38:C44)&lt;=$A$40,INDEX(Legislation!$C$5:$C$16,SMALL(IF(STAGE=4,IF(STATUS=1,ROW(STATUS)-ROW(Legislation!$E$5)+1)),ROWS(C$38:C44))),"")</f>
        <v/>
      </c>
      <c r="D44" s="62"/>
      <c r="E44" s="133" t="str">
        <f t="array" ref="E44">IF(ROWS(E$38:E44)&lt;=$D$39,INDEX('Data coll &amp; ax'!$C$5:$C$13,SMALL(IF(datastage=4,IF(datastatus=0,ROW(datastatus)-ROW('Data coll &amp; ax'!$E$5)+1)),ROWS(E$38:E44))),"")</f>
        <v/>
      </c>
      <c r="F44" s="86" t="str">
        <f t="array" ref="F44">IF(ROWS(F$38:F44)&lt;=$D$40,INDEX('Data coll &amp; ax'!$C$5:$C$13,SMALL(IF(datastage=4,IF(datastatus=1,ROW(datastatus)-ROW('Data coll &amp; ax'!$E$5)+1)),ROWS(F$38:F44))),"")</f>
        <v/>
      </c>
      <c r="G44" s="53"/>
      <c r="H44" s="137" t="str">
        <f t="array" ref="H44">IF(ROWS(H$38:H44)&lt;=$G$39,INDEX('Diagnostique lab'!$C$5:$C$14,SMALL(IF(labstage=4,IF(labstatus=0,ROW(labstatus)-ROW('Diagnostique lab'!$E$5)+1)),ROWS(H$38:H44))),"")</f>
        <v/>
      </c>
      <c r="I44" s="52" t="str">
        <f t="array" ref="I44">IF(ROWS(I$38:I44)&lt;=$G$40,INDEX('Diagnostique lab'!$C$5:$C$14,SMALL(IF(labstage=4,IF(labstatus=1,ROW(labstatus)-ROW('Diagnostique lab'!$F$5)+1)),ROWS(I$38:I44))),"")</f>
        <v/>
      </c>
      <c r="J44" s="53"/>
      <c r="K44" s="133" t="str">
        <f t="array" ref="K44">IF(ROWS(K$38:K44)&lt;=$J$39,INDEX(IEC!$C$5:$C$22,SMALL(IF(iecstage=4,IF(iecstatus=0,ROW(iecstatus)-ROW(IEC!$E$5)+1)),ROWS(K$38:K44))),"")</f>
        <v/>
      </c>
      <c r="L44" s="86" t="str">
        <f t="array" ref="L44">IF(ROWS(L$38:L44)&lt;=$J$40,INDEX(IEC!$C$5:$C$22,SMALL(IF(iecstage=4,IF(iecstatus=1,ROW(iecstatus)-ROW(IEC!$E$5)+1)),ROWS(L$38:L44))),"")</f>
        <v/>
      </c>
      <c r="M44" s="57"/>
      <c r="N44" s="137" t="str">
        <f t="array" ref="N44">IF(ROWS(N$38:N44)&lt;=$M$39,INDEX('Prev &amp; Ctrl'!$C$5:$C$29,SMALL(IF(prevstage=4,IF(prevstatus=0,ROW(prevstatus)-ROW('Prev &amp; Ctrl'!$E$5)+1)),ROWS(N$38:N44))),"")</f>
        <v/>
      </c>
      <c r="O44" s="52" t="str">
        <f t="array" ref="O44">IF(ROWS(O$38:O44)&lt;=$M$40,INDEX('Prev &amp; Ctrl'!$C$5:$C$29,SMALL(IF(prevstage=4,IF(prevstatus=1,ROW(prevstatus)-ROW('Prev &amp; Ctrl'!$E$5)+1)),ROWS(O$38:O44))),"")</f>
        <v/>
      </c>
      <c r="P44" s="53"/>
      <c r="Q44" s="133" t="str">
        <f t="array" ref="Q44">IF(ROWS(Q$29:Q44)&lt;=$P$39,INDEX('Dog popn'!$C$5:C45,SMALL(IF(dogstage=4,IF(dogstatus=0,ROW(dogstatus)-ROW('Dog popn'!$E$5)+1)),ROWS(Q$38:Q44))),"")</f>
        <v/>
      </c>
      <c r="R44" s="86" t="str">
        <f t="array" ref="R44">IF(ROWS(R$38:R44)&lt;=$P$40,INDEX('Dog popn'!$C$5:$C$7,SMALL(IF(dogstage=4,IF(dogstatus=1,ROW(dogstatus)-ROW('Dog popn'!$E$5)+1)),ROWS(R$38:R44))),"")</f>
        <v/>
      </c>
      <c r="S44" s="53"/>
      <c r="T44" s="137" t="str">
        <f t="array" ref="T44">IF(ROWS(T$38:T44)&lt;=$S$39,INDEX('Questions transversales'!$C$5:$C$19,SMALL(IF(crossstage=4,IF(crossstatus=0,ROW(crossstatus)-ROW('Questions transversales'!$E$5)+1)),ROWS(T$38:T44))),"")</f>
        <v/>
      </c>
      <c r="U44" s="52" t="str">
        <f t="array" ref="U44">IF(ROWS(U$38:U44)&lt;=$S$40,INDEX('Questions transversales'!$C$5:$C$19,SMALL(IF(crossstage=4,IF(crossstatus=1,ROW(crossstatus)-ROW('Questions transversales'!$E$5)+1)),ROWS(U$38:U44))),"")</f>
        <v/>
      </c>
    </row>
    <row r="45" spans="1:21" s="51" customFormat="1">
      <c r="A45" s="144"/>
      <c r="B45" s="133" t="str">
        <f t="array" ref="B45">IF(ROWS(B$38:B45)&lt;=$A$39,INDEX(Legislation!$C$5:$C$16,SMALL(IF(STAGE=4,IF(STATUS=0,ROW(STATUS)-ROW(Legislation!$E$5)+1)),ROWS(B$38:B45))),"")</f>
        <v/>
      </c>
      <c r="C45" s="86" t="str">
        <f t="array" ref="C45">IF(ROWS(C$38:C45)&lt;=$A$40,INDEX(Legislation!$C$5:$C$16,SMALL(IF(STAGE=4,IF(STATUS=1,ROW(STATUS)-ROW(Legislation!$E$5)+1)),ROWS(C$38:C45))),"")</f>
        <v/>
      </c>
      <c r="D45" s="62"/>
      <c r="E45" s="133" t="str">
        <f t="array" ref="E45">IF(ROWS(E$38:E45)&lt;=$D$39,INDEX('Data coll &amp; ax'!$C$5:$C$13,SMALL(IF(datastage=4,IF(datastatus=0,ROW(datastatus)-ROW('Data coll &amp; ax'!$E$5)+1)),ROWS(E$38:E45))),"")</f>
        <v/>
      </c>
      <c r="F45" s="86" t="str">
        <f t="array" ref="F45">IF(ROWS(F$38:F45)&lt;=$D$40,INDEX('Data coll &amp; ax'!$C$5:$C$13,SMALL(IF(datastage=4,IF(datastatus=1,ROW(datastatus)-ROW('Data coll &amp; ax'!$E$5)+1)),ROWS(F$38:F45))),"")</f>
        <v/>
      </c>
      <c r="G45" s="53"/>
      <c r="H45" s="137" t="str">
        <f t="array" ref="H45">IF(ROWS(H$38:H45)&lt;=$G$39,INDEX('Diagnostique lab'!$C$5:$C$14,SMALL(IF(labstage=4,IF(labstatus=0,ROW(labstatus)-ROW('Diagnostique lab'!$E$5)+1)),ROWS(H$38:H45))),"")</f>
        <v/>
      </c>
      <c r="I45" s="52" t="str">
        <f t="array" ref="I45">IF(ROWS(I$38:I45)&lt;=$G$40,INDEX('Diagnostique lab'!$C$5:$C$14,SMALL(IF(labstage=4,IF(labstatus=1,ROW(labstatus)-ROW('Diagnostique lab'!$F$5)+1)),ROWS(I$38:I45))),"")</f>
        <v/>
      </c>
      <c r="J45" s="53"/>
      <c r="K45" s="133" t="str">
        <f t="array" ref="K45">IF(ROWS(K$38:K45)&lt;=$J$39,INDEX(IEC!$C$5:$C$22,SMALL(IF(iecstage=4,IF(iecstatus=0,ROW(iecstatus)-ROW(IEC!$E$5)+1)),ROWS(K$38:K45))),"")</f>
        <v/>
      </c>
      <c r="L45" s="86" t="str">
        <f t="array" ref="L45">IF(ROWS(L$38:L45)&lt;=$J$40,INDEX(IEC!$C$5:$C$22,SMALL(IF(iecstage=4,IF(iecstatus=1,ROW(iecstatus)-ROW(IEC!$E$5)+1)),ROWS(L$38:L45))),"")</f>
        <v/>
      </c>
      <c r="M45" s="57"/>
      <c r="N45" s="137" t="str">
        <f t="array" ref="N45">IF(ROWS(N$38:N45)&lt;=$M$39,INDEX('Prev &amp; Ctrl'!$C$5:$C$29,SMALL(IF(prevstage=4,IF(prevstatus=0,ROW(prevstatus)-ROW('Prev &amp; Ctrl'!$E$5)+1)),ROWS(N$38:N45))),"")</f>
        <v/>
      </c>
      <c r="O45" s="52" t="str">
        <f t="array" ref="O45">IF(ROWS(O$38:O45)&lt;=$M$40,INDEX('Prev &amp; Ctrl'!$C$5:$C$29,SMALL(IF(prevstage=4,IF(prevstatus=1,ROW(prevstatus)-ROW('Prev &amp; Ctrl'!$E$5)+1)),ROWS(O$38:O45))),"")</f>
        <v/>
      </c>
      <c r="P45" s="53"/>
      <c r="Q45" s="133" t="str">
        <f t="array" ref="Q45">IF(ROWS(Q$29:Q45)&lt;=$P$39,INDEX('Dog popn'!$C$5:C46,SMALL(IF(dogstage=4,IF(dogstatus=0,ROW(dogstatus)-ROW('Dog popn'!$E$5)+1)),ROWS(Q$38:Q45))),"")</f>
        <v/>
      </c>
      <c r="R45" s="86" t="str">
        <f t="array" ref="R45">IF(ROWS(R$38:R45)&lt;=$P$40,INDEX('Dog popn'!$C$5:$C$7,SMALL(IF(dogstage=4,IF(dogstatus=1,ROW(dogstatus)-ROW('Dog popn'!$E$5)+1)),ROWS(R$38:R45))),"")</f>
        <v/>
      </c>
      <c r="S45" s="53"/>
      <c r="T45" s="137" t="str">
        <f t="array" ref="T45">IF(ROWS(T$38:T45)&lt;=$S$39,INDEX('Questions transversales'!$C$5:$C$19,SMALL(IF(crossstage=4,IF(crossstatus=0,ROW(crossstatus)-ROW('Questions transversales'!$E$5)+1)),ROWS(T$38:T45))),"")</f>
        <v/>
      </c>
      <c r="U45" s="52" t="str">
        <f t="array" ref="U45">IF(ROWS(U$38:U45)&lt;=$S$40,INDEX('Questions transversales'!$C$5:$C$19,SMALL(IF(crossstage=4,IF(crossstatus=1,ROW(crossstatus)-ROW('Questions transversales'!$E$5)+1)),ROWS(U$38:U45))),"")</f>
        <v/>
      </c>
    </row>
    <row r="46" spans="1:21" s="51" customFormat="1">
      <c r="A46" s="145"/>
      <c r="B46" s="134" t="str">
        <f t="array" ref="B46">IF(ROWS(B$38:B46)&lt;=$A$39,INDEX(Legislation!$C$5:$C$16,SMALL(IF(STAGE=4,IF(STATUS=0,ROW(STATUS)-ROW(Legislation!$E$5)+1)),ROWS(B$38:B46))),"")</f>
        <v/>
      </c>
      <c r="C46" s="87" t="str">
        <f t="array" ref="C46">IF(ROWS(C$38:C46)&lt;=$A$40,INDEX(Legislation!$C$5:$C$16,SMALL(IF(STAGE=4,IF(STATUS=1,ROW(STATUS)-ROW(Legislation!$E$5)+1)),ROWS(C$38:C46))),"")</f>
        <v/>
      </c>
      <c r="D46" s="63"/>
      <c r="E46" s="134" t="str">
        <f t="array" ref="E46">IF(ROWS(E$38:E46)&lt;=$D$39,INDEX('Data coll &amp; ax'!$C$5:$C$13,SMALL(IF(datastage=4,IF(datastatus=0,ROW(datastatus)-ROW('Data coll &amp; ax'!$E$5)+1)),ROWS(E$38:E46))),"")</f>
        <v/>
      </c>
      <c r="F46" s="87" t="str">
        <f t="array" ref="F46">IF(ROWS(F$38:F46)&lt;=$D$40,INDEX('Data coll &amp; ax'!$C$5:$C$13,SMALL(IF(datastage=4,IF(datastatus=1,ROW(datastatus)-ROW('Data coll &amp; ax'!$E$5)+1)),ROWS(F$38:F46))),"")</f>
        <v/>
      </c>
      <c r="G46" s="55"/>
      <c r="H46" s="138" t="str">
        <f t="array" ref="H46">IF(ROWS(H$38:H46)&lt;=$G$39,INDEX('Diagnostique lab'!$C$5:$C$14,SMALL(IF(labstage=4,IF(labstatus=0,ROW(labstatus)-ROW('Diagnostique lab'!$E$5)+1)),ROWS(H$38:H46))),"")</f>
        <v/>
      </c>
      <c r="I46" s="54" t="str">
        <f t="array" ref="I46">IF(ROWS(I$38:I46)&lt;=$G$40,INDEX('Diagnostique lab'!$C$5:$C$14,SMALL(IF(labstage=4,IF(labstatus=1,ROW(labstatus)-ROW('Diagnostique lab'!$F$5)+1)),ROWS(I$38:I46))),"")</f>
        <v/>
      </c>
      <c r="J46" s="55"/>
      <c r="K46" s="134" t="str">
        <f t="array" ref="K46">IF(ROWS(K$38:K46)&lt;=$J$39,INDEX(IEC!$C$5:$C$22,SMALL(IF(iecstage=4,IF(iecstatus=0,ROW(iecstatus)-ROW(IEC!$E$5)+1)),ROWS(K$38:K46))),"")</f>
        <v/>
      </c>
      <c r="L46" s="87" t="str">
        <f t="array" ref="L46">IF(ROWS(L$38:L46)&lt;=$J$40,INDEX(IEC!$C$5:$C$22,SMALL(IF(iecstage=4,IF(iecstatus=1,ROW(iecstatus)-ROW(IEC!$E$5)+1)),ROWS(L$38:L46))),"")</f>
        <v/>
      </c>
      <c r="M46" s="58"/>
      <c r="N46" s="138" t="str">
        <f t="array" ref="N46">IF(ROWS(N$38:N46)&lt;=$M$39,INDEX('Prev &amp; Ctrl'!$C$5:$C$29,SMALL(IF(prevstage=4,IF(prevstatus=0,ROW(prevstatus)-ROW('Prev &amp; Ctrl'!$E$5)+1)),ROWS(N$38:N46))),"")</f>
        <v/>
      </c>
      <c r="O46" s="54" t="str">
        <f t="array" ref="O46">IF(ROWS(O$38:O46)&lt;=$M$40,INDEX('Prev &amp; Ctrl'!$C$5:$C$29,SMALL(IF(prevstage=4,IF(prevstatus=1,ROW(prevstatus)-ROW('Prev &amp; Ctrl'!$E$5)+1)),ROWS(O$38:O46))),"")</f>
        <v/>
      </c>
      <c r="P46" s="55"/>
      <c r="Q46" s="134" t="str">
        <f t="array" ref="Q46">IF(ROWS(Q$29:Q46)&lt;=$P$39,INDEX('Dog popn'!$C$5:C47,SMALL(IF(dogstage=4,IF(dogstatus=0,ROW(dogstatus)-ROW('Dog popn'!$E$5)+1)),ROWS(Q$38:Q46))),"")</f>
        <v/>
      </c>
      <c r="R46" s="87" t="str">
        <f t="array" ref="R46">IF(ROWS(R$38:R46)&lt;=$P$40,INDEX('Dog popn'!$C$5:$C$7,SMALL(IF(dogstage=4,IF(dogstatus=1,ROW(dogstatus)-ROW('Dog popn'!$E$5)+1)),ROWS(R$38:R46))),"")</f>
        <v/>
      </c>
      <c r="S46" s="55"/>
      <c r="T46" s="138" t="str">
        <f t="array" ref="T46">IF(ROWS(T$38:T46)&lt;=$S$39,INDEX('Questions transversales'!$C$5:$C$19,SMALL(IF(crossstage=4,IF(crossstatus=0,ROW(crossstatus)-ROW('Questions transversales'!$E$5)+1)),ROWS(T$38:T46))),"")</f>
        <v/>
      </c>
      <c r="U46" s="54" t="str">
        <f t="array" ref="U46">IF(ROWS(U$38:U46)&lt;=$S$40,INDEX('Questions transversales'!$C$5:$C$19,SMALL(IF(crossstage=4,IF(crossstatus=1,ROW(crossstatus)-ROW('Questions transversales'!$E$5)+1)),ROWS(U$38:U46))),"")</f>
        <v/>
      </c>
    </row>
    <row r="47" spans="1:21" s="51" customFormat="1" ht="42">
      <c r="A47" s="151">
        <v>5</v>
      </c>
      <c r="B47" s="131" t="str">
        <f t="array" ref="B47">IF(ROWS(B$47:B47)&lt;=$A$48,INDEX(Legislation!$C$5:$C$16,SMALL(IF(STAGE=5,IF(STATUS=0,ROW(STATUS)-ROW(Legislation!$E$5)+1)),ROWS(B$47:B47))),"")</f>
        <v/>
      </c>
      <c r="C47" s="85" t="str">
        <f t="array" ref="C47">IF(ROWS(C$47:C47)&lt;=$A$49,INDEX(Legislation!$C$5:$C$16,SMALL(IF(STAGE=5,IF(STATUS=1,ROW(STATUS)-ROW(Legislation!$E$5)+1)),ROWS(C$47:C47))),"")</f>
        <v/>
      </c>
      <c r="D47" s="61"/>
      <c r="E47" s="136" t="str">
        <f t="array" ref="E47">IF(ROWS(E$47:E47)&lt;=$D$48,INDEX('Data coll &amp; ax'!$C$5:$C$13,SMALL(IF(datastage=5,IF(datastatus=0,ROW(datastatus)-ROW('Data coll &amp; ax'!$E$5)+1)),ROWS(E$47:E47))),"")</f>
        <v>Système de surveillance efficace pour la rage maintenu</v>
      </c>
      <c r="F47" s="49" t="str">
        <f t="array" ref="F47">IF(ROWS(F$47:F47)&lt;=$D$49,INDEX('Data coll &amp; ax'!$C$5:$C$13,SMALL(IF(datastage=5,IF(datastatus=1,ROW(datastatus)-ROW('Data coll &amp; ax'!$E$5)+1)),ROWS(F$47:F47))),"")</f>
        <v/>
      </c>
      <c r="G47" s="50"/>
      <c r="H47" s="136" t="str">
        <f t="array" ref="H47">IF(ROWS(H$47:H47)&lt;=$G$48,INDEX('Diagnostique lab'!$C$5:$C$14,SMALL(IF(labstage=5,IF(labstatus=0,ROW(labstatus)-ROW('Diagnostique lab'!$E$5)+1)),ROWS(H$47:H47))),"")</f>
        <v/>
      </c>
      <c r="I47" s="49" t="str">
        <f t="array" ref="I47">IF(ROWS(I$47:I47)&lt;=$G$49,INDEX('Diagnostique lab'!$C$5:$C$14,SMALL(IF(labstage=5,IF(labstatus=1,ROW(labstatus)-ROW('Diagnostique lab'!$F$5)+1)),ROWS(I$47:I47))),"")</f>
        <v/>
      </c>
      <c r="J47" s="50"/>
      <c r="K47" s="131" t="str">
        <f t="array" ref="K47">IF(ROWS(K$47:K47)&lt;=$J$48,INDEX(IEC!$C$5:$C$22,SMALL(IF(iecstage=5,IF(iecstatus=0,ROW(iecstatus)-ROW(IEC!$E$5)+1)),ROWS(K$47:K47))),"")</f>
        <v>Campagnes sur la gestion de la population canine et la propriété de chien responsable maintenus</v>
      </c>
      <c r="L47" s="85" t="str">
        <f t="array" ref="L47">IF(ROWS(L$47:L47)&lt;=$J$49,INDEX(IEC!$C$5:$C$22,SMALL(IF(iecstage=5,IF(iecstatus=1,ROW(iecstatus)-ROW(IEC!$E$5)+1)),ROWS(L$47:L47))),"")</f>
        <v/>
      </c>
      <c r="M47" s="56"/>
      <c r="N47" s="136" t="str">
        <f t="array" ref="N47">IF(ROWS(N$47:N47)&lt;=$M$48,INDEX('Prev &amp; Ctrl'!$C$5:$C$29,SMALL(IF(prevstage=5,IF(prevstatus=0,ROW(prevstatus)-ROW('Prev &amp; Ctrl'!$E$5)+1)),ROWS(N$47:N47))),"")</f>
        <v>Protocoles modifiés sur les critères pour l'administration de la PPE pour les zones indemnes de rage en œuvre</v>
      </c>
      <c r="O47" s="49" t="str">
        <f t="array" ref="O47">IF(ROWS(O$47:O47)&lt;=$M$49,INDEX('Prev &amp; Ctrl'!$C$5:$C$29,SMALL(IF(prevstage=5,IF(prevstatus=1,ROW(prevstatus)-ROW('Prev &amp; Ctrl'!$E$5)+1)),ROWS(O$47:O47))),"")</f>
        <v/>
      </c>
      <c r="P47" s="50"/>
      <c r="Q47" s="131" t="str">
        <f t="array" ref="Q47">IF(ROWS(Q$47:Q47)&lt;=$P$48,INDEX('Dog popn'!$C$5:C48,SMALL(IF(dogstage=5,IF(dogstatus=0,ROW(dogstatus)-ROW('Dog popn'!$E$5)+1)),ROWS(Q$47:Q47))),"")</f>
        <v/>
      </c>
      <c r="R47" s="85" t="str">
        <f t="array" ref="R47">IF(ROWS(R$47:R47)&lt;=$P$49,INDEX('Dog popn'!$C$5:$C$7,SMALL(IF(dogstage=5,IF(dogstatus=1,ROW(dogstatus)-ROW('Dog popn'!$E$5)+1)),ROWS(R$47:R47))),"")</f>
        <v/>
      </c>
      <c r="S47" s="50"/>
      <c r="T47" s="136" t="str">
        <f t="array" ref="T47">IF(ROWS(T$47:T47)&lt;=$S$48,INDEX('Questions transversales'!$C$5:$C$19,SMALL(IF(crossstage=5,IF(crossstatus=0,ROW(crossstatus)-ROW('Questions transversales'!$E$5)+1)),ROWS(T$47:T47))),"")</f>
        <v/>
      </c>
      <c r="U47" s="49" t="str">
        <f t="array" ref="U47">IF(ROWS(U$47:U47)&lt;=$S$49,INDEX('Questions transversales'!$C$5:$C$19,SMALL(IF(crossstage=5,IF(crossstatus=1,ROW(crossstatus)-ROW('Questions transversales'!$E$5)+1)),ROWS(U$47:U47))),"")</f>
        <v/>
      </c>
    </row>
    <row r="48" spans="1:21" s="51" customFormat="1" ht="42">
      <c r="A48" s="146">
        <f>SUMPRODUCT((STAGE=5)*(STATUS=0))</f>
        <v>0</v>
      </c>
      <c r="B48" s="133" t="str">
        <f t="array" ref="B48">IF(ROWS(B$47:B48)&lt;=$A$48,INDEX(Legislation!$C$5:$C$16,SMALL(IF(STAGE=5,IF(STATUS=0,ROW(STATUS)-ROW(Legislation!$E$5)+1)),ROWS(B$47:B48))),"")</f>
        <v/>
      </c>
      <c r="C48" s="86" t="str">
        <f t="array" ref="C48">IF(ROWS(C$47:C48)&lt;=$A$49,INDEX(Legislation!$C$5:$C$16,SMALL(IF(STAGE=5,IF(STATUS=1,ROW(STATUS)-ROW(Legislation!$E$5)+1)),ROWS(C$47:C48))),"")</f>
        <v/>
      </c>
      <c r="D48" s="62">
        <f>SUMPRODUCT((datastage=5)*(datastatus=0))</f>
        <v>1</v>
      </c>
      <c r="E48" s="137" t="str">
        <f t="array" ref="E48">IF(ROWS(E$47:E48)&lt;=$D$48,INDEX('Data coll &amp; ax'!$C$5:$C$13,SMALL(IF(datastage=5,IF(datastatus=0,ROW(datastatus)-ROW('Data coll &amp; ax'!$E$5)+1)),ROWS(E$47:E48))),"")</f>
        <v/>
      </c>
      <c r="F48" s="52" t="str">
        <f t="array" ref="F48">IF(ROWS(F$47:F48)&lt;=$D$49,INDEX('Data coll &amp; ax'!$C$5:$C$13,SMALL(IF(datastage=5,IF(datastatus=1,ROW(datastatus)-ROW('Data coll &amp; ax'!$E$5)+1)),ROWS(F$47:F48))),"")</f>
        <v/>
      </c>
      <c r="G48" s="53">
        <f>SUMPRODUCT((labstage=5)*(labstatus=0))</f>
        <v>0</v>
      </c>
      <c r="H48" s="137" t="str">
        <f t="array" ref="H48">IF(ROWS(H$47:H48)&lt;=$G$48,INDEX('Diagnostique lab'!$C$5:$C$14,SMALL(IF(labstage=5,IF(labstatus=0,ROW(labstatus)-ROW('Diagnostique lab'!$E$5)+1)),ROWS(H$47:H48))),"")</f>
        <v/>
      </c>
      <c r="I48" s="52" t="str">
        <f t="array" ref="I48">IF(ROWS(I$47:I48)&lt;=$G$49,INDEX('Diagnostique lab'!$C$5:$C$14,SMALL(IF(labstage=5,IF(labstatus=1,ROW(labstatus)-ROW('Diagnostique lab'!$F$5)+1)),ROWS(I$47:I48))),"")</f>
        <v/>
      </c>
      <c r="J48" s="53">
        <f>SUMPRODUCT((iecstage=5)*(iecstatus=0))</f>
        <v>1</v>
      </c>
      <c r="K48" s="133" t="str">
        <f t="array" ref="K48">IF(ROWS(K$47:K48)&lt;=$J$48,INDEX(IEC!$C$5:$C$22,SMALL(IF(iecstage=5,IF(iecstatus=0,ROW(iecstatus)-ROW(IEC!$E$5)+1)),ROWS(K$47:K48))),"")</f>
        <v/>
      </c>
      <c r="L48" s="86" t="str">
        <f t="array" ref="L48">IF(ROWS(L$47:L48)&lt;=$J$49,INDEX(IEC!$C$5:$C$22,SMALL(IF(iecstage=5,IF(iecstatus=1,ROW(iecstatus)-ROW(IEC!$E$5)+1)),ROWS(L$47:L48))),"")</f>
        <v/>
      </c>
      <c r="M48" s="57">
        <f>SUMPRODUCT((prevstage=5)*(prevstatus=0))</f>
        <v>3</v>
      </c>
      <c r="N48" s="137" t="str">
        <f t="array" ref="N48">IF(ROWS(N$47:N48)&lt;=$M$48,INDEX('Prev &amp; Ctrl'!$C$5:$C$29,SMALL(IF(prevstage=5,IF(prevstatus=0,ROW(prevstatus)-ROW('Prev &amp; Ctrl'!$E$5)+1)),ROWS(N$47:N48))),"")</f>
        <v>Basé sur une évaluation des risques , des campagnes de vaccination de chiens sont maintenus lorsque cela est justifié</v>
      </c>
      <c r="O48" s="52" t="str">
        <f t="array" ref="O48">IF(ROWS(O$47:O48)&lt;=$M$49,INDEX('Prev &amp; Ctrl'!$C$5:$C$29,SMALL(IF(prevstage=5,IF(prevstatus=1,ROW(prevstatus)-ROW('Prev &amp; Ctrl'!$E$5)+1)),ROWS(O$47:O48))),"")</f>
        <v/>
      </c>
      <c r="P48" s="53">
        <f>SUMPRODUCT((dogstage=5)*(dogstatus=0))</f>
        <v>0</v>
      </c>
      <c r="Q48" s="133" t="str">
        <f t="array" ref="Q48">IF(ROWS(Q$47:Q48)&lt;=$P$48,INDEX('Dog popn'!$C$5:C49,SMALL(IF(dogstage=5,IF(dogstatus=0,ROW(dogstatus)-ROW('Dog popn'!$E$5)+1)),ROWS(Q$47:Q48))),"")</f>
        <v/>
      </c>
      <c r="R48" s="86" t="str">
        <f t="array" ref="R48">IF(ROWS(R$47:R48)&lt;=$P$49,INDEX('Dog popn'!$C$5:$C$7,SMALL(IF(dogstage=5,IF(dogstatus=1,ROW(dogstatus)-ROW('Dog popn'!$E$5)+1)),ROWS(R$47:R48))),"")</f>
        <v/>
      </c>
      <c r="S48" s="53">
        <f>SUMPRODUCT((crossstage=5)*(crossstatus=0))</f>
        <v>0</v>
      </c>
      <c r="T48" s="137" t="str">
        <f t="array" ref="T48">IF(ROWS(T$47:T48)&lt;=$S$48,INDEX('Questions transversales'!$C$5:$C$19,SMALL(IF(crossstage=5,IF(crossstatus=0,ROW(crossstatus)-ROW('Questions transversales'!$E$5)+1)),ROWS(T$47:T48))),"")</f>
        <v/>
      </c>
      <c r="U48" s="52" t="str">
        <f t="array" ref="U48">IF(ROWS(U$47:U48)&lt;=$S$49,INDEX('Questions transversales'!$C$5:$C$19,SMALL(IF(crossstage=5,IF(crossstatus=1,ROW(crossstatus)-ROW('Questions transversales'!$E$5)+1)),ROWS(U$47:U48))),"")</f>
        <v/>
      </c>
    </row>
    <row r="49" spans="1:21" s="51" customFormat="1" ht="28">
      <c r="A49" s="146">
        <f>SUMPRODUCT((STAGE=5)*(STATUS=1))</f>
        <v>0</v>
      </c>
      <c r="B49" s="133" t="str">
        <f t="array" ref="B49">IF(ROWS(B$47:B49)&lt;=$A$48,INDEX(Legislation!$C$5:$C$16,SMALL(IF(STAGE=5,IF(STATUS=0,ROW(STATUS)-ROW(Legislation!$E$5)+1)),ROWS(B$47:B49))),"")</f>
        <v/>
      </c>
      <c r="C49" s="86" t="str">
        <f t="array" ref="C49">IF(ROWS(C$47:C49)&lt;=$A$49,INDEX(Legislation!$C$5:$C$16,SMALL(IF(STAGE=5,IF(STATUS=1,ROW(STATUS)-ROW(Legislation!$E$5)+1)),ROWS(C$47:C49))),"")</f>
        <v/>
      </c>
      <c r="D49" s="62">
        <f>SUMPRODUCT((datastage=5)*(datastatus=1))</f>
        <v>0</v>
      </c>
      <c r="E49" s="137" t="str">
        <f t="array" ref="E49">IF(ROWS(E$47:E49)&lt;=$D$48,INDEX('Data coll &amp; ax'!$C$5:$C$13,SMALL(IF(datastage=5,IF(datastatus=0,ROW(datastatus)-ROW('Data coll &amp; ax'!$E$5)+1)),ROWS(E$47:E49))),"")</f>
        <v/>
      </c>
      <c r="F49" s="52" t="str">
        <f t="array" ref="F49">IF(ROWS(F$47:F49)&lt;=$D$49,INDEX('Data coll &amp; ax'!$C$5:$C$13,SMALL(IF(datastage=5,IF(datastatus=1,ROW(datastatus)-ROW('Data coll &amp; ax'!$E$5)+1)),ROWS(F$47:F49))),"")</f>
        <v/>
      </c>
      <c r="G49" s="53">
        <f>SUMPRODUCT((labstage=5)*(labstatus=1))</f>
        <v>0</v>
      </c>
      <c r="H49" s="137" t="str">
        <f t="array" ref="H49">IF(ROWS(H$47:H49)&lt;=$G$48,INDEX('Diagnostique lab'!$C$5:$C$14,SMALL(IF(labstage=5,IF(labstatus=0,ROW(labstatus)-ROW('Diagnostique lab'!$E$5)+1)),ROWS(H$47:H49))),"")</f>
        <v/>
      </c>
      <c r="I49" s="52" t="str">
        <f t="array" ref="I49">IF(ROWS(I$47:I49)&lt;=$G$49,INDEX('Diagnostique lab'!$C$5:$C$14,SMALL(IF(labstage=5,IF(labstatus=1,ROW(labstatus)-ROW('Diagnostique lab'!$F$5)+1)),ROWS(I$47:I49))),"")</f>
        <v/>
      </c>
      <c r="J49" s="53">
        <f>SUMPRODUCT((iecstage=5)*(iecstatus=1))</f>
        <v>0</v>
      </c>
      <c r="K49" s="133" t="str">
        <f t="array" ref="K49">IF(ROWS(K$47:K49)&lt;=$J$48,INDEX(IEC!$C$5:$C$22,SMALL(IF(iecstage=5,IF(iecstatus=0,ROW(iecstatus)-ROW(IEC!$E$5)+1)),ROWS(K$47:K49))),"")</f>
        <v/>
      </c>
      <c r="L49" s="86" t="str">
        <f t="array" ref="L49">IF(ROWS(L$47:L49)&lt;=$J$49,INDEX(IEC!$C$5:$C$22,SMALL(IF(iecstage=5,IF(iecstatus=1,ROW(iecstatus)-ROW(IEC!$E$5)+1)),ROWS(L$47:L49))),"")</f>
        <v/>
      </c>
      <c r="M49" s="57">
        <f>SUMPRODUCT((prevstage=5)*(prevstatus=1))</f>
        <v>0</v>
      </c>
      <c r="N49" s="137" t="str">
        <f t="array" ref="N49">IF(ROWS(N$47:N49)&lt;=$M$48,INDEX('Prev &amp; Ctrl'!$C$5:$C$29,SMALL(IF(prevstage=5,IF(prevstatus=0,ROW(prevstatus)-ROW('Prev &amp; Ctrl'!$E$5)+1)),ROWS(N$47:N49))),"")</f>
        <v>Capacité de déclenchement et de réintroduction réponse maintenue</v>
      </c>
      <c r="O49" s="52" t="str">
        <f t="array" ref="O49">IF(ROWS(O$47:O49)&lt;=$M$49,INDEX('Prev &amp; Ctrl'!$C$5:$C$29,SMALL(IF(prevstage=5,IF(prevstatus=1,ROW(prevstatus)-ROW('Prev &amp; Ctrl'!$E$5)+1)),ROWS(O$47:O49))),"")</f>
        <v/>
      </c>
      <c r="P49" s="53">
        <f>SUMPRODUCT((dogstage=5)*(dogstatus=1))</f>
        <v>0</v>
      </c>
      <c r="Q49" s="133" t="str">
        <f t="array" ref="Q49">IF(ROWS(Q$47:Q49)&lt;=$P$48,INDEX('Dog popn'!$C$5:C50,SMALL(IF(dogstage=5,IF(dogstatus=0,ROW(dogstatus)-ROW('Dog popn'!$E$5)+1)),ROWS(Q$47:Q49))),"")</f>
        <v/>
      </c>
      <c r="R49" s="86" t="str">
        <f t="array" ref="R49">IF(ROWS(R$47:R49)&lt;=$P$49,INDEX('Dog popn'!$C$5:$C$7,SMALL(IF(dogstage=5,IF(dogstatus=1,ROW(dogstatus)-ROW('Dog popn'!$E$5)+1)),ROWS(R$47:R49))),"")</f>
        <v/>
      </c>
      <c r="S49" s="53">
        <f>SUMPRODUCT((crossstage=5)*(crossstatus=1))</f>
        <v>0</v>
      </c>
      <c r="T49" s="137" t="str">
        <f t="array" ref="T49">IF(ROWS(T$47:T49)&lt;=$S$48,INDEX('Questions transversales'!$C$5:$C$19,SMALL(IF(crossstage=5,IF(crossstatus=0,ROW(crossstatus)-ROW('Questions transversales'!$E$5)+1)),ROWS(T$47:T49))),"")</f>
        <v/>
      </c>
      <c r="U49" s="52" t="str">
        <f t="array" ref="U49">IF(ROWS(U$47:U49)&lt;=$S$49,INDEX('Questions transversales'!$C$5:$C$19,SMALL(IF(crossstage=5,IF(crossstatus=1,ROW(crossstatus)-ROW('Questions transversales'!$E$5)+1)),ROWS(U$47:U49))),"")</f>
        <v/>
      </c>
    </row>
    <row r="50" spans="1:21" s="51" customFormat="1">
      <c r="A50" s="147"/>
      <c r="B50" s="133" t="str">
        <f t="array" ref="B50">IF(ROWS(B$47:B50)&lt;=$A$48,INDEX(Legislation!$C$5:$C$16,SMALL(IF(STAGE=5,IF(STATUS=0,ROW(STATUS)-ROW(Legislation!$E$5)+1)),ROWS(B$47:B50))),"")</f>
        <v/>
      </c>
      <c r="C50" s="86" t="str">
        <f t="array" ref="C50">IF(ROWS(C$47:C50)&lt;=$A$49,INDEX(Legislation!$C$5:$C$16,SMALL(IF(STAGE=5,IF(STATUS=1,ROW(STATUS)-ROW(Legislation!$E$5)+1)),ROWS(C$47:C50))),"")</f>
        <v/>
      </c>
      <c r="D50" s="62"/>
      <c r="E50" s="137" t="str">
        <f t="array" ref="E50">IF(ROWS(E$47:E50)&lt;=$D$48,INDEX('Data coll &amp; ax'!$C$5:$C$13,SMALL(IF(datastage=5,IF(datastatus=0,ROW(datastatus)-ROW('Data coll &amp; ax'!$E$5)+1)),ROWS(E$47:E50))),"")</f>
        <v/>
      </c>
      <c r="F50" s="52" t="str">
        <f t="array" ref="F50">IF(ROWS(F$47:F50)&lt;=$D$49,INDEX('Data coll &amp; ax'!$C$5:$C$13,SMALL(IF(datastage=5,IF(datastatus=1,ROW(datastatus)-ROW('Data coll &amp; ax'!$E$5)+1)),ROWS(F$47:F50))),"")</f>
        <v/>
      </c>
      <c r="G50" s="53"/>
      <c r="H50" s="137" t="str">
        <f t="array" ref="H50">IF(ROWS(H$47:H50)&lt;=$G$48,INDEX('Diagnostique lab'!$C$5:$C$14,SMALL(IF(labstage=5,IF(labstatus=0,ROW(labstatus)-ROW('Diagnostique lab'!$E$5)+1)),ROWS(H$47:H50))),"")</f>
        <v/>
      </c>
      <c r="I50" s="52" t="str">
        <f t="array" ref="I50">IF(ROWS(I$47:I50)&lt;=$G$49,INDEX('Diagnostique lab'!$C$5:$C$14,SMALL(IF(labstage=5,IF(labstatus=1,ROW(labstatus)-ROW('Diagnostique lab'!$F$5)+1)),ROWS(I$47:I50))),"")</f>
        <v/>
      </c>
      <c r="J50" s="53"/>
      <c r="K50" s="133" t="str">
        <f t="array" ref="K50">IF(ROWS(K$47:K50)&lt;=$J$48,INDEX(IEC!$C$5:$C$22,SMALL(IF(iecstage=5,IF(iecstatus=0,ROW(iecstatus)-ROW(IEC!$E$5)+1)),ROWS(K$47:K50))),"")</f>
        <v/>
      </c>
      <c r="L50" s="86" t="str">
        <f t="array" ref="L50">IF(ROWS(L$47:L50)&lt;=$J$49,INDEX(IEC!$C$5:$C$22,SMALL(IF(iecstage=5,IF(iecstatus=1,ROW(iecstatus)-ROW(IEC!$E$5)+1)),ROWS(L$47:L50))),"")</f>
        <v/>
      </c>
      <c r="M50" s="57"/>
      <c r="N50" s="137" t="str">
        <f t="array" ref="N50">IF(ROWS(N$47:N50)&lt;=$M$48,INDEX('Prev &amp; Ctrl'!$C$5:$C$29,SMALL(IF(prevstage=5,IF(prevstatus=0,ROW(prevstatus)-ROW('Prev &amp; Ctrl'!$E$5)+1)),ROWS(N$47:N50))),"")</f>
        <v/>
      </c>
      <c r="O50" s="52" t="str">
        <f t="array" ref="O50">IF(ROWS(O$47:O50)&lt;=$M$49,INDEX('Prev &amp; Ctrl'!$C$5:$C$29,SMALL(IF(prevstage=5,IF(prevstatus=1,ROW(prevstatus)-ROW('Prev &amp; Ctrl'!$E$5)+1)),ROWS(O$47:O50))),"")</f>
        <v/>
      </c>
      <c r="P50" s="53"/>
      <c r="Q50" s="133" t="str">
        <f t="array" ref="Q50">IF(ROWS(Q$47:Q50)&lt;=$P$48,INDEX('Dog popn'!$C$5:C51,SMALL(IF(dogstage=5,IF(dogstatus=0,ROW(dogstatus)-ROW('Dog popn'!$E$5)+1)),ROWS(Q$47:Q50))),"")</f>
        <v/>
      </c>
      <c r="R50" s="86" t="str">
        <f t="array" ref="R50">IF(ROWS(R$47:R50)&lt;=$P$49,INDEX('Dog popn'!$C$5:$C$7,SMALL(IF(dogstage=5,IF(dogstatus=1,ROW(dogstatus)-ROW('Dog popn'!$E$5)+1)),ROWS(R$47:R50))),"")</f>
        <v/>
      </c>
      <c r="S50" s="53"/>
      <c r="T50" s="137" t="str">
        <f t="array" ref="T50">IF(ROWS(T$47:T50)&lt;=$S$48,INDEX('Questions transversales'!$C$5:$C$19,SMALL(IF(crossstage=5,IF(crossstatus=0,ROW(crossstatus)-ROW('Questions transversales'!$E$5)+1)),ROWS(T$47:T50))),"")</f>
        <v/>
      </c>
      <c r="U50" s="52" t="str">
        <f t="array" ref="U50">IF(ROWS(U$47:U50)&lt;=$S$49,INDEX('Questions transversales'!$C$5:$C$19,SMALL(IF(crossstage=5,IF(crossstatus=1,ROW(crossstatus)-ROW('Questions transversales'!$E$5)+1)),ROWS(U$47:U50))),"")</f>
        <v/>
      </c>
    </row>
    <row r="51" spans="1:21" s="51" customFormat="1">
      <c r="A51" s="147"/>
      <c r="B51" s="133" t="str">
        <f t="array" ref="B51">IF(ROWS(B$47:B51)&lt;=$A$48,INDEX(Legislation!$C$5:$C$16,SMALL(IF(STAGE=5,IF(STATUS=0,ROW(STATUS)-ROW(Legislation!$E$5)+1)),ROWS(B$47:B51))),"")</f>
        <v/>
      </c>
      <c r="C51" s="86" t="str">
        <f t="array" ref="C51">IF(ROWS(C$47:C51)&lt;=$A$49,INDEX(Legislation!$C$5:$C$16,SMALL(IF(STAGE=5,IF(STATUS=1,ROW(STATUS)-ROW(Legislation!$E$5)+1)),ROWS(C$47:C51))),"")</f>
        <v/>
      </c>
      <c r="D51" s="62"/>
      <c r="E51" s="137" t="str">
        <f t="array" ref="E51">IF(ROWS(E$47:E51)&lt;=$D$48,INDEX('Data coll &amp; ax'!$C$5:$C$13,SMALL(IF(datastage=5,IF(datastatus=0,ROW(datastatus)-ROW('Data coll &amp; ax'!$E$5)+1)),ROWS(E$47:E51))),"")</f>
        <v/>
      </c>
      <c r="F51" s="52" t="str">
        <f t="array" ref="F51">IF(ROWS(F$47:F51)&lt;=$D$49,INDEX('Data coll &amp; ax'!$C$5:$C$13,SMALL(IF(datastage=5,IF(datastatus=1,ROW(datastatus)-ROW('Data coll &amp; ax'!$E$5)+1)),ROWS(F$47:F51))),"")</f>
        <v/>
      </c>
      <c r="G51" s="53"/>
      <c r="H51" s="137" t="str">
        <f t="array" ref="H51">IF(ROWS(H$47:H51)&lt;=$G$48,INDEX('Diagnostique lab'!$C$5:$C$14,SMALL(IF(labstage=5,IF(labstatus=0,ROW(labstatus)-ROW('Diagnostique lab'!$E$5)+1)),ROWS(H$47:H51))),"")</f>
        <v/>
      </c>
      <c r="I51" s="52" t="str">
        <f t="array" ref="I51">IF(ROWS(I$47:I51)&lt;=$G$49,INDEX('Diagnostique lab'!$C$5:$C$14,SMALL(IF(labstage=5,IF(labstatus=1,ROW(labstatus)-ROW('Diagnostique lab'!$F$5)+1)),ROWS(I$47:I51))),"")</f>
        <v/>
      </c>
      <c r="J51" s="53"/>
      <c r="K51" s="133" t="str">
        <f t="array" ref="K51">IF(ROWS(K$47:K51)&lt;=$J$48,INDEX(IEC!$C$5:$C$22,SMALL(IF(iecstage=5,IF(iecstatus=0,ROW(iecstatus)-ROW(IEC!$E$5)+1)),ROWS(K$47:K51))),"")</f>
        <v/>
      </c>
      <c r="L51" s="86" t="str">
        <f t="array" ref="L51">IF(ROWS(L$47:L51)&lt;=$J$49,INDEX(IEC!$C$5:$C$22,SMALL(IF(iecstage=5,IF(iecstatus=1,ROW(iecstatus)-ROW(IEC!$E$5)+1)),ROWS(L$47:L51))),"")</f>
        <v/>
      </c>
      <c r="M51" s="57"/>
      <c r="N51" s="137" t="str">
        <f t="array" ref="N51">IF(ROWS(N$47:N51)&lt;=$M$48,INDEX('Prev &amp; Ctrl'!$C$5:$C$29,SMALL(IF(prevstage=5,IF(prevstatus=0,ROW(prevstatus)-ROW('Prev &amp; Ctrl'!$E$5)+1)),ROWS(N$47:N51))),"")</f>
        <v/>
      </c>
      <c r="O51" s="52" t="str">
        <f t="array" ref="O51">IF(ROWS(O$47:O51)&lt;=$M$49,INDEX('Prev &amp; Ctrl'!$C$5:$C$29,SMALL(IF(prevstage=5,IF(prevstatus=1,ROW(prevstatus)-ROW('Prev &amp; Ctrl'!$E$5)+1)),ROWS(O$47:O51))),"")</f>
        <v/>
      </c>
      <c r="P51" s="53"/>
      <c r="Q51" s="133" t="str">
        <f t="array" ref="Q51">IF(ROWS(Q$47:Q51)&lt;=$P$48,INDEX('Dog popn'!$C$5:C52,SMALL(IF(dogstage=5,IF(dogstatus=0,ROW(dogstatus)-ROW('Dog popn'!$E$5)+1)),ROWS(Q$47:Q51))),"")</f>
        <v/>
      </c>
      <c r="R51" s="86" t="str">
        <f t="array" ref="R51">IF(ROWS(R$47:R51)&lt;=$P$49,INDEX('Dog popn'!$C$5:$C$7,SMALL(IF(dogstage=5,IF(dogstatus=1,ROW(dogstatus)-ROW('Dog popn'!$E$5)+1)),ROWS(R$47:R51))),"")</f>
        <v/>
      </c>
      <c r="S51" s="53"/>
      <c r="T51" s="137" t="str">
        <f t="array" ref="T51">IF(ROWS(T$47:T51)&lt;=$S$48,INDEX('Questions transversales'!$C$5:$C$19,SMALL(IF(crossstage=5,IF(crossstatus=0,ROW(crossstatus)-ROW('Questions transversales'!$E$5)+1)),ROWS(T$47:T51))),"")</f>
        <v/>
      </c>
      <c r="U51" s="52" t="str">
        <f t="array" ref="U51">IF(ROWS(U$47:U51)&lt;=$S$49,INDEX('Questions transversales'!$C$5:$C$19,SMALL(IF(crossstage=5,IF(crossstatus=1,ROW(crossstatus)-ROW('Questions transversales'!$E$5)+1)),ROWS(U$47:U51))),"")</f>
        <v/>
      </c>
    </row>
    <row r="52" spans="1:21" s="51" customFormat="1">
      <c r="A52" s="147"/>
      <c r="B52" s="133" t="str">
        <f t="array" ref="B52">IF(ROWS(B$47:B52)&lt;=$A$48,INDEX(Legislation!$C$5:$C$16,SMALL(IF(STAGE=5,IF(STATUS=0,ROW(STATUS)-ROW(Legislation!$E$5)+1)),ROWS(B$47:B52))),"")</f>
        <v/>
      </c>
      <c r="C52" s="86" t="str">
        <f t="array" ref="C52">IF(ROWS(C$47:C52)&lt;=$A$49,INDEX(Legislation!$C$5:$C$16,SMALL(IF(STAGE=5,IF(STATUS=1,ROW(STATUS)-ROW(Legislation!$E$5)+1)),ROWS(C$47:C52))),"")</f>
        <v/>
      </c>
      <c r="D52" s="62"/>
      <c r="E52" s="137" t="str">
        <f t="array" ref="E52">IF(ROWS(E$47:E52)&lt;=$D$48,INDEX('Data coll &amp; ax'!$C$5:$C$13,SMALL(IF(datastage=5,IF(datastatus=0,ROW(datastatus)-ROW('Data coll &amp; ax'!$E$5)+1)),ROWS(E$47:E52))),"")</f>
        <v/>
      </c>
      <c r="F52" s="52" t="str">
        <f t="array" ref="F52">IF(ROWS(F$47:F52)&lt;=$D$49,INDEX('Data coll &amp; ax'!$C$5:$C$13,SMALL(IF(datastage=5,IF(datastatus=1,ROW(datastatus)-ROW('Data coll &amp; ax'!$E$5)+1)),ROWS(F$47:F52))),"")</f>
        <v/>
      </c>
      <c r="G52" s="53"/>
      <c r="H52" s="137" t="str">
        <f t="array" ref="H52">IF(ROWS(H$47:H52)&lt;=$G$48,INDEX('Diagnostique lab'!$C$5:$C$14,SMALL(IF(labstage=5,IF(labstatus=0,ROW(labstatus)-ROW('Diagnostique lab'!$E$5)+1)),ROWS(H$47:H52))),"")</f>
        <v/>
      </c>
      <c r="I52" s="52" t="str">
        <f t="array" ref="I52">IF(ROWS(I$47:I52)&lt;=$G$49,INDEX('Diagnostique lab'!$C$5:$C$14,SMALL(IF(labstage=5,IF(labstatus=1,ROW(labstatus)-ROW('Diagnostique lab'!$F$5)+1)),ROWS(I$47:I52))),"")</f>
        <v/>
      </c>
      <c r="J52" s="53"/>
      <c r="K52" s="133" t="str">
        <f t="array" ref="K52">IF(ROWS(K$47:K52)&lt;=$J$48,INDEX(IEC!$C$5:$C$22,SMALL(IF(iecstage=5,IF(iecstatus=0,ROW(iecstatus)-ROW(IEC!$E$5)+1)),ROWS(K$47:K52))),"")</f>
        <v/>
      </c>
      <c r="L52" s="86" t="str">
        <f t="array" ref="L52">IF(ROWS(L$47:L52)&lt;=$J$49,INDEX(IEC!$C$5:$C$22,SMALL(IF(iecstage=5,IF(iecstatus=1,ROW(iecstatus)-ROW(IEC!$E$5)+1)),ROWS(L$47:L52))),"")</f>
        <v/>
      </c>
      <c r="M52" s="57"/>
      <c r="N52" s="137" t="str">
        <f t="array" ref="N52">IF(ROWS(N$47:N52)&lt;=$M$48,INDEX('Prev &amp; Ctrl'!$C$5:$C$29,SMALL(IF(prevstage=5,IF(prevstatus=0,ROW(prevstatus)-ROW('Prev &amp; Ctrl'!$E$5)+1)),ROWS(N$47:N52))),"")</f>
        <v/>
      </c>
      <c r="O52" s="52" t="str">
        <f t="array" ref="O52">IF(ROWS(O$47:O52)&lt;=$M$49,INDEX('Prev &amp; Ctrl'!$C$5:$C$29,SMALL(IF(prevstage=5,IF(prevstatus=1,ROW(prevstatus)-ROW('Prev &amp; Ctrl'!$E$5)+1)),ROWS(O$47:O52))),"")</f>
        <v/>
      </c>
      <c r="P52" s="53"/>
      <c r="Q52" s="133" t="str">
        <f t="array" ref="Q52">IF(ROWS(Q$47:Q52)&lt;=$P$48,INDEX('Dog popn'!$C$5:C53,SMALL(IF(dogstage=5,IF(dogstatus=0,ROW(dogstatus)-ROW('Dog popn'!$E$5)+1)),ROWS(Q$47:Q52))),"")</f>
        <v/>
      </c>
      <c r="R52" s="86" t="str">
        <f t="array" ref="R52">IF(ROWS(R$47:R52)&lt;=$P$49,INDEX('Dog popn'!$C$5:$C$7,SMALL(IF(dogstage=5,IF(dogstatus=1,ROW(dogstatus)-ROW('Dog popn'!$E$5)+1)),ROWS(R$47:R52))),"")</f>
        <v/>
      </c>
      <c r="S52" s="53"/>
      <c r="T52" s="137" t="str">
        <f t="array" ref="T52">IF(ROWS(T$47:T52)&lt;=$S$48,INDEX('Questions transversales'!$C$5:$C$19,SMALL(IF(crossstage=5,IF(crossstatus=0,ROW(crossstatus)-ROW('Questions transversales'!$E$5)+1)),ROWS(T$47:T52))),"")</f>
        <v/>
      </c>
      <c r="U52" s="52" t="str">
        <f t="array" ref="U52">IF(ROWS(U$47:U52)&lt;=$S$49,INDEX('Questions transversales'!$C$5:$C$19,SMALL(IF(crossstage=5,IF(crossstatus=1,ROW(crossstatus)-ROW('Questions transversales'!$E$5)+1)),ROWS(U$47:U52))),"")</f>
        <v/>
      </c>
    </row>
    <row r="53" spans="1:21" s="51" customFormat="1">
      <c r="A53" s="147"/>
      <c r="B53" s="133" t="str">
        <f t="array" ref="B53">IF(ROWS(B$47:B53)&lt;=$A$48,INDEX(Legislation!$C$5:$C$16,SMALL(IF(STAGE=5,IF(STATUS=0,ROW(STATUS)-ROW(Legislation!$E$5)+1)),ROWS(B$47:B53))),"")</f>
        <v/>
      </c>
      <c r="C53" s="86" t="str">
        <f t="array" ref="C53">IF(ROWS(C$47:C53)&lt;=$A$49,INDEX(Legislation!$C$5:$C$16,SMALL(IF(STAGE=5,IF(STATUS=1,ROW(STATUS)-ROW(Legislation!$E$5)+1)),ROWS(C$47:C53))),"")</f>
        <v/>
      </c>
      <c r="D53" s="62"/>
      <c r="E53" s="137" t="str">
        <f t="array" ref="E53">IF(ROWS(E$47:E53)&lt;=$D$48,INDEX('Data coll &amp; ax'!$C$5:$C$13,SMALL(IF(datastage=5,IF(datastatus=0,ROW(datastatus)-ROW('Data coll &amp; ax'!$E$5)+1)),ROWS(E$47:E53))),"")</f>
        <v/>
      </c>
      <c r="F53" s="52" t="str">
        <f t="array" ref="F53">IF(ROWS(F$47:F53)&lt;=$D$49,INDEX('Data coll &amp; ax'!$C$5:$C$13,SMALL(IF(datastage=5,IF(datastatus=1,ROW(datastatus)-ROW('Data coll &amp; ax'!$E$5)+1)),ROWS(F$47:F53))),"")</f>
        <v/>
      </c>
      <c r="G53" s="53"/>
      <c r="H53" s="137" t="str">
        <f t="array" ref="H53">IF(ROWS(H$47:H53)&lt;=$G$48,INDEX('Diagnostique lab'!$C$5:$C$14,SMALL(IF(labstage=5,IF(labstatus=0,ROW(labstatus)-ROW('Diagnostique lab'!$E$5)+1)),ROWS(H$47:H53))),"")</f>
        <v/>
      </c>
      <c r="I53" s="52" t="str">
        <f t="array" ref="I53">IF(ROWS(I$47:I53)&lt;=$G$49,INDEX('Diagnostique lab'!$C$5:$C$14,SMALL(IF(labstage=5,IF(labstatus=1,ROW(labstatus)-ROW('Diagnostique lab'!$F$5)+1)),ROWS(I$47:I53))),"")</f>
        <v/>
      </c>
      <c r="J53" s="53"/>
      <c r="K53" s="133" t="str">
        <f t="array" ref="K53">IF(ROWS(K$47:K53)&lt;=$J$48,INDEX(IEC!$C$5:$C$22,SMALL(IF(iecstage=5,IF(iecstatus=0,ROW(iecstatus)-ROW(IEC!$E$5)+1)),ROWS(K$47:K53))),"")</f>
        <v/>
      </c>
      <c r="L53" s="86" t="str">
        <f t="array" ref="L53">IF(ROWS(L$47:L53)&lt;=$J$49,INDEX(IEC!$C$5:$C$22,SMALL(IF(iecstage=5,IF(iecstatus=1,ROW(iecstatus)-ROW(IEC!$E$5)+1)),ROWS(L$47:L53))),"")</f>
        <v/>
      </c>
      <c r="M53" s="57"/>
      <c r="N53" s="137" t="str">
        <f t="array" ref="N53">IF(ROWS(N$47:N53)&lt;=$M$48,INDEX('Prev &amp; Ctrl'!$C$5:$C$29,SMALL(IF(prevstage=5,IF(prevstatus=0,ROW(prevstatus)-ROW('Prev &amp; Ctrl'!$E$5)+1)),ROWS(N$47:N53))),"")</f>
        <v/>
      </c>
      <c r="O53" s="52" t="str">
        <f t="array" ref="O53">IF(ROWS(O$47:O53)&lt;=$M$49,INDEX('Prev &amp; Ctrl'!$C$5:$C$29,SMALL(IF(prevstage=5,IF(prevstatus=1,ROW(prevstatus)-ROW('Prev &amp; Ctrl'!$E$5)+1)),ROWS(O$47:O53))),"")</f>
        <v/>
      </c>
      <c r="P53" s="53"/>
      <c r="Q53" s="133" t="str">
        <f t="array" ref="Q53">IF(ROWS(Q$47:Q53)&lt;=$P$48,INDEX('Dog popn'!$C$5:C54,SMALL(IF(dogstage=5,IF(dogstatus=0,ROW(dogstatus)-ROW('Dog popn'!$E$5)+1)),ROWS(Q$47:Q53))),"")</f>
        <v/>
      </c>
      <c r="R53" s="86" t="str">
        <f t="array" ref="R53">IF(ROWS(R$47:R53)&lt;=$P$49,INDEX('Dog popn'!$C$5:$C$7,SMALL(IF(dogstage=5,IF(dogstatus=1,ROW(dogstatus)-ROW('Dog popn'!$E$5)+1)),ROWS(R$47:R53))),"")</f>
        <v/>
      </c>
      <c r="S53" s="53"/>
      <c r="T53" s="137" t="str">
        <f t="array" ref="T53">IF(ROWS(T$47:T53)&lt;=$S$48,INDEX('Questions transversales'!$C$5:$C$19,SMALL(IF(crossstage=5,IF(crossstatus=0,ROW(crossstatus)-ROW('Questions transversales'!$E$5)+1)),ROWS(T$47:T53))),"")</f>
        <v/>
      </c>
      <c r="U53" s="52" t="str">
        <f t="array" ref="U53">IF(ROWS(U$47:U53)&lt;=$S$49,INDEX('Questions transversales'!$C$5:$C$19,SMALL(IF(crossstage=5,IF(crossstatus=1,ROW(crossstatus)-ROW('Questions transversales'!$E$5)+1)),ROWS(U$47:U53))),"")</f>
        <v/>
      </c>
    </row>
    <row r="54" spans="1:21" s="51" customFormat="1">
      <c r="A54" s="147"/>
      <c r="B54" s="133" t="str">
        <f t="array" ref="B54">IF(ROWS(B$47:B54)&lt;=$A$48,INDEX(Legislation!$C$5:$C$16,SMALL(IF(STAGE=5,IF(STATUS=0,ROW(STATUS)-ROW(Legislation!$E$5)+1)),ROWS(B$47:B54))),"")</f>
        <v/>
      </c>
      <c r="C54" s="86" t="str">
        <f t="array" ref="C54">IF(ROWS(C$47:C54)&lt;=$A$49,INDEX(Legislation!$C$5:$C$16,SMALL(IF(STAGE=5,IF(STATUS=1,ROW(STATUS)-ROW(Legislation!$E$5)+1)),ROWS(C$47:C54))),"")</f>
        <v/>
      </c>
      <c r="D54" s="62"/>
      <c r="E54" s="137" t="str">
        <f t="array" ref="E54">IF(ROWS(E$47:E54)&lt;=$D$48,INDEX('Data coll &amp; ax'!$C$5:$C$13,SMALL(IF(datastage=5,IF(datastatus=0,ROW(datastatus)-ROW('Data coll &amp; ax'!$E$5)+1)),ROWS(E$47:E54))),"")</f>
        <v/>
      </c>
      <c r="F54" s="52" t="str">
        <f t="array" ref="F54">IF(ROWS(F$47:F54)&lt;=$D$49,INDEX('Data coll &amp; ax'!$C$5:$C$13,SMALL(IF(datastage=5,IF(datastatus=1,ROW(datastatus)-ROW('Data coll &amp; ax'!$E$5)+1)),ROWS(F$47:F54))),"")</f>
        <v/>
      </c>
      <c r="G54" s="53"/>
      <c r="H54" s="137" t="str">
        <f t="array" ref="H54">IF(ROWS(H$47:H54)&lt;=$G$48,INDEX('Diagnostique lab'!$C$5:$C$14,SMALL(IF(labstage=5,IF(labstatus=0,ROW(labstatus)-ROW('Diagnostique lab'!$E$5)+1)),ROWS(H$47:H54))),"")</f>
        <v/>
      </c>
      <c r="I54" s="52" t="str">
        <f t="array" ref="I54">IF(ROWS(I$47:I54)&lt;=$G$49,INDEX('Diagnostique lab'!$C$5:$C$14,SMALL(IF(labstage=5,IF(labstatus=1,ROW(labstatus)-ROW('Diagnostique lab'!$F$5)+1)),ROWS(I$47:I54))),"")</f>
        <v/>
      </c>
      <c r="J54" s="53"/>
      <c r="K54" s="133" t="str">
        <f t="array" ref="K54">IF(ROWS(K$47:K54)&lt;=$J$48,INDEX(IEC!$C$5:$C$22,SMALL(IF(iecstage=5,IF(iecstatus=0,ROW(iecstatus)-ROW(IEC!$E$5)+1)),ROWS(K$47:K54))),"")</f>
        <v/>
      </c>
      <c r="L54" s="86" t="str">
        <f t="array" ref="L54">IF(ROWS(L$47:L54)&lt;=$J$49,INDEX(IEC!$C$5:$C$22,SMALL(IF(iecstage=5,IF(iecstatus=1,ROW(iecstatus)-ROW(IEC!$E$5)+1)),ROWS(L$47:L54))),"")</f>
        <v/>
      </c>
      <c r="M54" s="57"/>
      <c r="N54" s="137" t="str">
        <f t="array" ref="N54">IF(ROWS(N$47:N54)&lt;=$M$48,INDEX('Prev &amp; Ctrl'!$C$5:$C$29,SMALL(IF(prevstage=5,IF(prevstatus=0,ROW(prevstatus)-ROW('Prev &amp; Ctrl'!$E$5)+1)),ROWS(N$47:N54))),"")</f>
        <v/>
      </c>
      <c r="O54" s="52" t="str">
        <f t="array" ref="O54">IF(ROWS(O$47:O54)&lt;=$M$49,INDEX('Prev &amp; Ctrl'!$C$5:$C$29,SMALL(IF(prevstage=5,IF(prevstatus=1,ROW(prevstatus)-ROW('Prev &amp; Ctrl'!$E$5)+1)),ROWS(O$47:O54))),"")</f>
        <v/>
      </c>
      <c r="P54" s="53"/>
      <c r="Q54" s="133" t="str">
        <f t="array" ref="Q54">IF(ROWS(Q$47:Q54)&lt;=$P$48,INDEX('Dog popn'!$C$5:C55,SMALL(IF(dogstage=5,IF(dogstatus=0,ROW(dogstatus)-ROW('Dog popn'!$E$5)+1)),ROWS(Q$47:Q54))),"")</f>
        <v/>
      </c>
      <c r="R54" s="86" t="str">
        <f t="array" ref="R54">IF(ROWS(R$47:R54)&lt;=$P$49,INDEX('Dog popn'!$C$5:$C$7,SMALL(IF(dogstage=5,IF(dogstatus=1,ROW(dogstatus)-ROW('Dog popn'!$E$5)+1)),ROWS(R$47:R54))),"")</f>
        <v/>
      </c>
      <c r="S54" s="53"/>
      <c r="T54" s="137" t="str">
        <f t="array" ref="T54">IF(ROWS(T$47:T54)&lt;=$S$48,INDEX('Questions transversales'!$C$5:$C$19,SMALL(IF(crossstage=5,IF(crossstatus=0,ROW(crossstatus)-ROW('Questions transversales'!$E$5)+1)),ROWS(T$47:T54))),"")</f>
        <v/>
      </c>
      <c r="U54" s="52" t="str">
        <f t="array" ref="U54">IF(ROWS(U$47:U54)&lt;=$S$49,INDEX('Questions transversales'!$C$5:$C$19,SMALL(IF(crossstage=5,IF(crossstatus=1,ROW(crossstatus)-ROW('Questions transversales'!$E$5)+1)),ROWS(U$47:U54))),"")</f>
        <v/>
      </c>
    </row>
    <row r="55" spans="1:21" s="51" customFormat="1">
      <c r="A55" s="148"/>
      <c r="B55" s="134" t="str">
        <f t="array" ref="B55">IF(ROWS(B$47:B55)&lt;=$A$48,INDEX(Legislation!$C$5:$C$16,SMALL(IF(STAGE=5,IF(STATUS=0,ROW(STATUS)-ROW(Legislation!$E$5)+1)),ROWS(B$47:B55))),"")</f>
        <v/>
      </c>
      <c r="C55" s="87" t="str">
        <f t="array" ref="C55">IF(ROWS(C$47:C55)&lt;=$A$49,INDEX(Legislation!$C$5:$C$16,SMALL(IF(STAGE=5,IF(STATUS=1,ROW(STATUS)-ROW(Legislation!$E$5)+1)),ROWS(C$47:C55))),"")</f>
        <v/>
      </c>
      <c r="D55" s="63"/>
      <c r="E55" s="138" t="str">
        <f t="array" ref="E55">IF(ROWS(E$47:E55)&lt;=$D$48,INDEX('Data coll &amp; ax'!$C$5:$C$13,SMALL(IF(datastage=5,IF(datastatus=0,ROW(datastatus)-ROW('Data coll &amp; ax'!$E$5)+1)),ROWS(E$47:E55))),"")</f>
        <v/>
      </c>
      <c r="F55" s="54" t="str">
        <f t="array" ref="F55">IF(ROWS(F$47:F55)&lt;=$D$49,INDEX('Data coll &amp; ax'!$C$5:$C$13,SMALL(IF(datastage=5,IF(datastatus=1,ROW(datastatus)-ROW('Data coll &amp; ax'!$E$5)+1)),ROWS(F$47:F55))),"")</f>
        <v/>
      </c>
      <c r="G55" s="55"/>
      <c r="H55" s="138" t="str">
        <f t="array" ref="H55">IF(ROWS(H$47:H55)&lt;=$G$48,INDEX('Diagnostique lab'!$C$5:$C$14,SMALL(IF(labstage=5,IF(labstatus=0,ROW(labstatus)-ROW('Diagnostique lab'!$E$5)+1)),ROWS(H$47:H55))),"")</f>
        <v/>
      </c>
      <c r="I55" s="54" t="str">
        <f t="array" ref="I55">IF(ROWS(I$47:I55)&lt;=$G$49,INDEX('Diagnostique lab'!$C$5:$C$14,SMALL(IF(labstage=5,IF(labstatus=1,ROW(labstatus)-ROW('Diagnostique lab'!$F$5)+1)),ROWS(I$47:I55))),"")</f>
        <v/>
      </c>
      <c r="J55" s="55"/>
      <c r="K55" s="134" t="str">
        <f t="array" ref="K55">IF(ROWS(K$47:K55)&lt;=$J$48,INDEX(IEC!$C$5:$C$22,SMALL(IF(iecstage=5,IF(iecstatus=0,ROW(iecstatus)-ROW(IEC!$E$5)+1)),ROWS(K$47:K55))),"")</f>
        <v/>
      </c>
      <c r="L55" s="87" t="str">
        <f t="array" ref="L55">IF(ROWS(L$47:L55)&lt;=$J$49,INDEX(IEC!$C$5:$C$22,SMALL(IF(iecstage=5,IF(iecstatus=1,ROW(iecstatus)-ROW(IEC!$E$5)+1)),ROWS(L$47:L55))),"")</f>
        <v/>
      </c>
      <c r="M55" s="58"/>
      <c r="N55" s="138" t="str">
        <f t="array" ref="N55">IF(ROWS(N$47:N55)&lt;=$M$48,INDEX('Prev &amp; Ctrl'!$C$5:$C$29,SMALL(IF(prevstage=5,IF(prevstatus=0,ROW(prevstatus)-ROW('Prev &amp; Ctrl'!$E$5)+1)),ROWS(N$47:N55))),"")</f>
        <v/>
      </c>
      <c r="O55" s="54" t="str">
        <f t="array" ref="O55">IF(ROWS(O$47:O55)&lt;=$M$49,INDEX('Prev &amp; Ctrl'!$C$5:$C$29,SMALL(IF(prevstage=5,IF(prevstatus=1,ROW(prevstatus)-ROW('Prev &amp; Ctrl'!$E$5)+1)),ROWS(O$47:O55))),"")</f>
        <v/>
      </c>
      <c r="P55" s="55"/>
      <c r="Q55" s="134" t="str">
        <f t="array" ref="Q55">IF(ROWS(Q$47:Q55)&lt;=$P$48,INDEX('Dog popn'!$C$5:C56,SMALL(IF(dogstage=5,IF(dogstatus=0,ROW(dogstatus)-ROW('Dog popn'!$E$5)+1)),ROWS(Q$47:Q55))),"")</f>
        <v/>
      </c>
      <c r="R55" s="87" t="str">
        <f t="array" ref="R55">IF(ROWS(R$47:R55)&lt;=$P$49,INDEX('Dog popn'!$C$5:$C$7,SMALL(IF(dogstage=5,IF(dogstatus=1,ROW(dogstatus)-ROW('Dog popn'!$E$5)+1)),ROWS(R$47:R55))),"")</f>
        <v/>
      </c>
      <c r="S55" s="55"/>
      <c r="T55" s="138" t="str">
        <f t="array" ref="T55">IF(ROWS(T$47:T55)&lt;=$S$48,INDEX('Questions transversales'!$C$5:$C$19,SMALL(IF(crossstage=5,IF(crossstatus=0,ROW(crossstatus)-ROW('Questions transversales'!$E$5)+1)),ROWS(T$47:T55))),"")</f>
        <v/>
      </c>
      <c r="U55" s="54" t="str">
        <f t="array" ref="U55">IF(ROWS(U$47:U55)&lt;=$S$49,INDEX('Questions transversales'!$C$5:$C$19,SMALL(IF(crossstage=5,IF(crossstatus=1,ROW(crossstatus)-ROW('Questions transversales'!$E$5)+1)),ROWS(U$47:U55))),"")</f>
        <v/>
      </c>
    </row>
  </sheetData>
  <sheetProtection algorithmName="SHA-512" hashValue="slS/5h9mDQO0JRIIF2VsxAlmYsoxcJvBwN+rf2hlIfJjc8NFGiCRsdZ8loP/tqR+J8YRkN5BV/Mxnb1rhR08jA==" saltValue="1y3TJiABBqcna3DxO34f3g==" spinCount="100000"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2"/>
  <sheetViews>
    <sheetView workbookViewId="0">
      <pane ySplit="1" topLeftCell="A39" activePane="bottomLeft" state="frozen"/>
      <selection pane="bottomLeft" activeCell="B47" sqref="B47"/>
    </sheetView>
  </sheetViews>
  <sheetFormatPr baseColWidth="10" defaultColWidth="8.83203125" defaultRowHeight="14" x14ac:dyDescent="0"/>
  <cols>
    <col min="1" max="1" width="8.83203125" style="174"/>
    <col min="2" max="2" width="27.1640625" style="175" customWidth="1"/>
    <col min="3" max="3" width="96" style="77" customWidth="1"/>
    <col min="4" max="16384" width="8.83203125" style="77"/>
  </cols>
  <sheetData>
    <row r="1" spans="1:3" s="174" customFormat="1">
      <c r="A1" s="174" t="s">
        <v>0</v>
      </c>
      <c r="B1" s="174" t="s">
        <v>369</v>
      </c>
      <c r="C1" s="174" t="s">
        <v>370</v>
      </c>
    </row>
    <row r="2" spans="1:3">
      <c r="A2" s="176">
        <v>0</v>
      </c>
      <c r="B2" s="173" t="s">
        <v>26</v>
      </c>
      <c r="C2" s="10" t="s">
        <v>7</v>
      </c>
    </row>
    <row r="3" spans="1:3">
      <c r="A3" s="176">
        <v>1</v>
      </c>
      <c r="B3" s="173" t="s">
        <v>26</v>
      </c>
      <c r="C3" s="10" t="s">
        <v>93</v>
      </c>
    </row>
    <row r="4" spans="1:3">
      <c r="A4" s="176">
        <v>2</v>
      </c>
      <c r="B4" s="173" t="s">
        <v>26</v>
      </c>
      <c r="C4" s="10" t="s">
        <v>95</v>
      </c>
    </row>
    <row r="5" spans="1:3">
      <c r="A5" s="176">
        <v>0</v>
      </c>
      <c r="B5" s="173" t="s">
        <v>26</v>
      </c>
      <c r="C5" s="10" t="s">
        <v>8</v>
      </c>
    </row>
    <row r="6" spans="1:3">
      <c r="A6" s="176">
        <v>1</v>
      </c>
      <c r="B6" s="173" t="s">
        <v>26</v>
      </c>
      <c r="C6" s="10" t="s">
        <v>94</v>
      </c>
    </row>
    <row r="7" spans="1:3">
      <c r="A7" s="176">
        <v>2</v>
      </c>
      <c r="B7" s="173" t="s">
        <v>26</v>
      </c>
      <c r="C7" s="10" t="s">
        <v>96</v>
      </c>
    </row>
    <row r="8" spans="1:3">
      <c r="A8" s="176">
        <v>1</v>
      </c>
      <c r="B8" s="173" t="s">
        <v>26</v>
      </c>
      <c r="C8" s="10" t="s">
        <v>2</v>
      </c>
    </row>
    <row r="9" spans="1:3">
      <c r="A9" s="176">
        <v>1</v>
      </c>
      <c r="B9" s="173" t="s">
        <v>26</v>
      </c>
      <c r="C9" s="10" t="s">
        <v>3</v>
      </c>
    </row>
    <row r="10" spans="1:3">
      <c r="A10" s="176">
        <v>1</v>
      </c>
      <c r="B10" s="173" t="s">
        <v>26</v>
      </c>
      <c r="C10" s="177" t="s">
        <v>9</v>
      </c>
    </row>
    <row r="11" spans="1:3">
      <c r="A11" s="176">
        <v>1</v>
      </c>
      <c r="B11" s="173" t="s">
        <v>26</v>
      </c>
      <c r="C11" s="177" t="s">
        <v>5</v>
      </c>
    </row>
    <row r="12" spans="1:3">
      <c r="A12" s="176">
        <v>1</v>
      </c>
      <c r="B12" s="173" t="s">
        <v>26</v>
      </c>
      <c r="C12" s="177" t="s">
        <v>4</v>
      </c>
    </row>
    <row r="13" spans="1:3" ht="28">
      <c r="A13" s="176">
        <v>2</v>
      </c>
      <c r="B13" s="173" t="s">
        <v>26</v>
      </c>
      <c r="C13" s="10" t="s">
        <v>6</v>
      </c>
    </row>
    <row r="14" spans="1:3">
      <c r="A14" s="176">
        <v>1</v>
      </c>
      <c r="B14" s="178" t="s">
        <v>27</v>
      </c>
      <c r="C14" s="179" t="s">
        <v>17</v>
      </c>
    </row>
    <row r="15" spans="1:3">
      <c r="A15" s="176">
        <v>1</v>
      </c>
      <c r="B15" s="178" t="s">
        <v>27</v>
      </c>
      <c r="C15" s="179" t="s">
        <v>18</v>
      </c>
    </row>
    <row r="16" spans="1:3">
      <c r="A16" s="176">
        <v>1</v>
      </c>
      <c r="B16" s="178" t="s">
        <v>27</v>
      </c>
      <c r="C16" s="179" t="s">
        <v>13</v>
      </c>
    </row>
    <row r="17" spans="1:3">
      <c r="A17" s="176">
        <v>2</v>
      </c>
      <c r="B17" s="178" t="s">
        <v>27</v>
      </c>
      <c r="C17" s="180" t="s">
        <v>10</v>
      </c>
    </row>
    <row r="18" spans="1:3" ht="28">
      <c r="A18" s="176">
        <v>2</v>
      </c>
      <c r="B18" s="178" t="s">
        <v>27</v>
      </c>
      <c r="C18" s="180" t="s">
        <v>90</v>
      </c>
    </row>
    <row r="19" spans="1:3">
      <c r="A19" s="176">
        <v>3</v>
      </c>
      <c r="B19" s="178" t="s">
        <v>27</v>
      </c>
      <c r="C19" s="179" t="s">
        <v>15</v>
      </c>
    </row>
    <row r="20" spans="1:3">
      <c r="A20" s="176">
        <v>5</v>
      </c>
      <c r="B20" s="178" t="s">
        <v>27</v>
      </c>
      <c r="C20" s="179" t="s">
        <v>12</v>
      </c>
    </row>
    <row r="21" spans="1:3" ht="30" customHeight="1">
      <c r="A21" s="176">
        <v>2</v>
      </c>
      <c r="B21" s="178" t="s">
        <v>27</v>
      </c>
      <c r="C21" s="10" t="s">
        <v>14</v>
      </c>
    </row>
    <row r="22" spans="1:3">
      <c r="A22" s="176">
        <v>3</v>
      </c>
      <c r="B22" s="178" t="s">
        <v>27</v>
      </c>
      <c r="C22" s="10" t="s">
        <v>11</v>
      </c>
    </row>
    <row r="23" spans="1:3" ht="30" customHeight="1">
      <c r="A23" s="176">
        <v>0</v>
      </c>
      <c r="B23" s="181" t="s">
        <v>31</v>
      </c>
      <c r="C23" s="182" t="s">
        <v>28</v>
      </c>
    </row>
    <row r="24" spans="1:3" ht="28">
      <c r="A24" s="176">
        <v>0</v>
      </c>
      <c r="B24" s="181" t="s">
        <v>31</v>
      </c>
      <c r="C24" s="182" t="s">
        <v>19</v>
      </c>
    </row>
    <row r="25" spans="1:3" ht="15" customHeight="1">
      <c r="A25" s="176">
        <v>1</v>
      </c>
      <c r="B25" s="181" t="s">
        <v>31</v>
      </c>
      <c r="C25" s="182" t="s">
        <v>20</v>
      </c>
    </row>
    <row r="26" spans="1:3">
      <c r="A26" s="176">
        <v>2</v>
      </c>
      <c r="B26" s="181" t="s">
        <v>31</v>
      </c>
      <c r="C26" s="177" t="s">
        <v>22</v>
      </c>
    </row>
    <row r="27" spans="1:3">
      <c r="A27" s="176">
        <v>3</v>
      </c>
      <c r="B27" s="181" t="s">
        <v>31</v>
      </c>
      <c r="C27" s="182" t="s">
        <v>29</v>
      </c>
    </row>
    <row r="28" spans="1:3">
      <c r="A28" s="176">
        <v>3</v>
      </c>
      <c r="B28" s="181" t="s">
        <v>31</v>
      </c>
      <c r="C28" s="182" t="s">
        <v>30</v>
      </c>
    </row>
    <row r="29" spans="1:3">
      <c r="A29" s="176">
        <v>3</v>
      </c>
      <c r="B29" s="181" t="s">
        <v>31</v>
      </c>
      <c r="C29" s="182" t="s">
        <v>23</v>
      </c>
    </row>
    <row r="30" spans="1:3" ht="15" customHeight="1">
      <c r="A30" s="176">
        <v>2</v>
      </c>
      <c r="B30" s="181" t="s">
        <v>31</v>
      </c>
      <c r="C30" s="10" t="s">
        <v>21</v>
      </c>
    </row>
    <row r="31" spans="1:3">
      <c r="A31" s="176">
        <v>4</v>
      </c>
      <c r="B31" s="181" t="s">
        <v>31</v>
      </c>
      <c r="C31" s="10" t="s">
        <v>24</v>
      </c>
    </row>
    <row r="32" spans="1:3" ht="28">
      <c r="A32" s="176">
        <v>5</v>
      </c>
      <c r="B32" s="181" t="s">
        <v>31</v>
      </c>
      <c r="C32" s="10" t="s">
        <v>25</v>
      </c>
    </row>
    <row r="33" spans="1:3">
      <c r="A33" s="176">
        <v>0</v>
      </c>
      <c r="B33" s="183" t="s">
        <v>371</v>
      </c>
      <c r="C33" s="10" t="s">
        <v>33</v>
      </c>
    </row>
    <row r="34" spans="1:3" ht="28">
      <c r="A34" s="176">
        <v>2</v>
      </c>
      <c r="B34" s="183" t="s">
        <v>371</v>
      </c>
      <c r="C34" s="177" t="s">
        <v>89</v>
      </c>
    </row>
    <row r="35" spans="1:3" ht="15" customHeight="1">
      <c r="A35" s="184">
        <v>1</v>
      </c>
      <c r="B35" s="183" t="s">
        <v>371</v>
      </c>
      <c r="C35" s="182" t="s">
        <v>35</v>
      </c>
    </row>
    <row r="36" spans="1:3">
      <c r="A36" s="184">
        <v>1</v>
      </c>
      <c r="B36" s="183" t="s">
        <v>371</v>
      </c>
      <c r="C36" s="182" t="s">
        <v>46</v>
      </c>
    </row>
    <row r="37" spans="1:3" ht="28">
      <c r="A37" s="184">
        <v>2</v>
      </c>
      <c r="B37" s="183" t="s">
        <v>371</v>
      </c>
      <c r="C37" s="182" t="s">
        <v>37</v>
      </c>
    </row>
    <row r="38" spans="1:3">
      <c r="A38" s="184">
        <v>3</v>
      </c>
      <c r="B38" s="183" t="s">
        <v>371</v>
      </c>
      <c r="C38" s="182" t="s">
        <v>39</v>
      </c>
    </row>
    <row r="39" spans="1:3" ht="15" customHeight="1">
      <c r="A39" s="176">
        <v>1</v>
      </c>
      <c r="B39" s="183" t="s">
        <v>371</v>
      </c>
      <c r="C39" s="10" t="s">
        <v>44</v>
      </c>
    </row>
    <row r="40" spans="1:3" ht="28">
      <c r="A40" s="176">
        <v>1</v>
      </c>
      <c r="B40" s="183" t="s">
        <v>371</v>
      </c>
      <c r="C40" s="10" t="s">
        <v>45</v>
      </c>
    </row>
    <row r="41" spans="1:3">
      <c r="A41" s="176">
        <v>1</v>
      </c>
      <c r="B41" s="183" t="s">
        <v>371</v>
      </c>
      <c r="C41" s="10" t="s">
        <v>42</v>
      </c>
    </row>
    <row r="42" spans="1:3">
      <c r="A42" s="176">
        <v>1</v>
      </c>
      <c r="B42" s="183" t="s">
        <v>371</v>
      </c>
      <c r="C42" s="10" t="s">
        <v>48</v>
      </c>
    </row>
    <row r="43" spans="1:3">
      <c r="A43" s="184">
        <v>1</v>
      </c>
      <c r="B43" s="183" t="s">
        <v>371</v>
      </c>
      <c r="C43" s="182" t="s">
        <v>47</v>
      </c>
    </row>
    <row r="44" spans="1:3">
      <c r="A44" s="184">
        <v>2</v>
      </c>
      <c r="B44" s="183" t="s">
        <v>371</v>
      </c>
      <c r="C44" s="182" t="s">
        <v>38</v>
      </c>
    </row>
    <row r="45" spans="1:3">
      <c r="A45" s="184">
        <v>3</v>
      </c>
      <c r="B45" s="183" t="s">
        <v>371</v>
      </c>
      <c r="C45" s="185" t="s">
        <v>43</v>
      </c>
    </row>
    <row r="46" spans="1:3">
      <c r="A46" s="184">
        <v>3</v>
      </c>
      <c r="B46" s="183" t="s">
        <v>374</v>
      </c>
      <c r="C46" s="10" t="s">
        <v>32</v>
      </c>
    </row>
    <row r="47" spans="1:3">
      <c r="A47" s="184">
        <v>4</v>
      </c>
      <c r="B47" s="183" t="s">
        <v>371</v>
      </c>
      <c r="C47" s="10" t="s">
        <v>40</v>
      </c>
    </row>
    <row r="48" spans="1:3">
      <c r="A48" s="184">
        <v>5</v>
      </c>
      <c r="B48" s="183" t="s">
        <v>371</v>
      </c>
      <c r="C48" s="10" t="s">
        <v>41</v>
      </c>
    </row>
    <row r="49" spans="1:3">
      <c r="A49" s="176">
        <v>1</v>
      </c>
      <c r="B49" s="183" t="s">
        <v>371</v>
      </c>
      <c r="C49" s="10" t="s">
        <v>34</v>
      </c>
    </row>
    <row r="50" spans="1:3">
      <c r="A50" s="176">
        <v>2</v>
      </c>
      <c r="B50" s="183" t="s">
        <v>371</v>
      </c>
      <c r="C50" s="177" t="s">
        <v>36</v>
      </c>
    </row>
    <row r="51" spans="1:3">
      <c r="A51" s="186">
        <v>1</v>
      </c>
      <c r="B51" s="187" t="s">
        <v>372</v>
      </c>
      <c r="C51" s="182" t="s">
        <v>51</v>
      </c>
    </row>
    <row r="52" spans="1:3" ht="28">
      <c r="A52" s="186">
        <v>1</v>
      </c>
      <c r="B52" s="187" t="s">
        <v>372</v>
      </c>
      <c r="C52" s="177" t="s">
        <v>52</v>
      </c>
    </row>
    <row r="53" spans="1:3">
      <c r="A53" s="186">
        <v>2</v>
      </c>
      <c r="B53" s="187" t="s">
        <v>372</v>
      </c>
      <c r="C53" s="177" t="s">
        <v>69</v>
      </c>
    </row>
    <row r="54" spans="1:3">
      <c r="A54" s="186">
        <v>2</v>
      </c>
      <c r="B54" s="187" t="s">
        <v>372</v>
      </c>
      <c r="C54" s="188" t="s">
        <v>54</v>
      </c>
    </row>
    <row r="55" spans="1:3" ht="28">
      <c r="A55" s="189">
        <v>3</v>
      </c>
      <c r="B55" s="187" t="s">
        <v>372</v>
      </c>
      <c r="C55" s="182" t="s">
        <v>368</v>
      </c>
    </row>
    <row r="56" spans="1:3">
      <c r="A56" s="189">
        <v>4</v>
      </c>
      <c r="B56" s="187" t="s">
        <v>372</v>
      </c>
      <c r="C56" s="182" t="s">
        <v>62</v>
      </c>
    </row>
    <row r="57" spans="1:3">
      <c r="A57" s="189">
        <v>5</v>
      </c>
      <c r="B57" s="187" t="s">
        <v>372</v>
      </c>
      <c r="C57" s="188" t="s">
        <v>67</v>
      </c>
    </row>
    <row r="58" spans="1:3">
      <c r="A58" s="189">
        <v>1</v>
      </c>
      <c r="B58" s="187" t="s">
        <v>372</v>
      </c>
      <c r="C58" s="190" t="s">
        <v>53</v>
      </c>
    </row>
    <row r="59" spans="1:3">
      <c r="A59" s="186">
        <v>2</v>
      </c>
      <c r="B59" s="187" t="s">
        <v>372</v>
      </c>
      <c r="C59" s="191" t="s">
        <v>55</v>
      </c>
    </row>
    <row r="60" spans="1:3">
      <c r="A60" s="186">
        <v>2</v>
      </c>
      <c r="B60" s="187" t="s">
        <v>372</v>
      </c>
      <c r="C60" s="191" t="s">
        <v>56</v>
      </c>
    </row>
    <row r="61" spans="1:3" ht="28">
      <c r="A61" s="186">
        <v>3</v>
      </c>
      <c r="B61" s="187" t="s">
        <v>372</v>
      </c>
      <c r="C61" s="10" t="s">
        <v>88</v>
      </c>
    </row>
    <row r="62" spans="1:3">
      <c r="A62" s="186">
        <v>4</v>
      </c>
      <c r="B62" s="187" t="s">
        <v>372</v>
      </c>
      <c r="C62" s="10" t="s">
        <v>61</v>
      </c>
    </row>
    <row r="63" spans="1:3">
      <c r="A63" s="189">
        <v>5</v>
      </c>
      <c r="B63" s="187" t="s">
        <v>372</v>
      </c>
      <c r="C63" s="10" t="s">
        <v>65</v>
      </c>
    </row>
    <row r="64" spans="1:3">
      <c r="A64" s="189">
        <v>1</v>
      </c>
      <c r="B64" s="187" t="s">
        <v>372</v>
      </c>
      <c r="C64" s="10" t="s">
        <v>49</v>
      </c>
    </row>
    <row r="65" spans="1:3">
      <c r="A65" s="189">
        <v>1</v>
      </c>
      <c r="B65" s="187" t="s">
        <v>372</v>
      </c>
      <c r="C65" s="10" t="s">
        <v>50</v>
      </c>
    </row>
    <row r="66" spans="1:3">
      <c r="A66" s="189">
        <v>2</v>
      </c>
      <c r="B66" s="187" t="s">
        <v>372</v>
      </c>
      <c r="C66" s="191" t="s">
        <v>57</v>
      </c>
    </row>
    <row r="67" spans="1:3">
      <c r="A67" s="192">
        <v>2</v>
      </c>
      <c r="B67" s="187" t="s">
        <v>372</v>
      </c>
      <c r="C67" s="191" t="s">
        <v>58</v>
      </c>
    </row>
    <row r="68" spans="1:3">
      <c r="A68" s="192">
        <v>3</v>
      </c>
      <c r="B68" s="187" t="s">
        <v>372</v>
      </c>
      <c r="C68" s="10" t="s">
        <v>59</v>
      </c>
    </row>
    <row r="69" spans="1:3">
      <c r="A69" s="186">
        <v>3</v>
      </c>
      <c r="B69" s="187" t="s">
        <v>372</v>
      </c>
      <c r="C69" s="182" t="s">
        <v>71</v>
      </c>
    </row>
    <row r="70" spans="1:3">
      <c r="A70" s="186">
        <v>3</v>
      </c>
      <c r="B70" s="187" t="s">
        <v>372</v>
      </c>
      <c r="C70" s="182" t="s">
        <v>70</v>
      </c>
    </row>
    <row r="71" spans="1:3">
      <c r="A71" s="186">
        <v>4</v>
      </c>
      <c r="B71" s="187" t="s">
        <v>372</v>
      </c>
      <c r="C71" s="10" t="s">
        <v>68</v>
      </c>
    </row>
    <row r="72" spans="1:3" ht="28">
      <c r="A72" s="186">
        <v>4</v>
      </c>
      <c r="B72" s="187" t="s">
        <v>372</v>
      </c>
      <c r="C72" s="10" t="s">
        <v>60</v>
      </c>
    </row>
    <row r="73" spans="1:3">
      <c r="A73" s="186">
        <v>4</v>
      </c>
      <c r="B73" s="187" t="s">
        <v>372</v>
      </c>
      <c r="C73" s="10" t="s">
        <v>63</v>
      </c>
    </row>
    <row r="74" spans="1:3">
      <c r="A74" s="186">
        <v>4</v>
      </c>
      <c r="B74" s="187" t="s">
        <v>372</v>
      </c>
      <c r="C74" s="10" t="s">
        <v>64</v>
      </c>
    </row>
    <row r="75" spans="1:3">
      <c r="A75" s="186">
        <v>5</v>
      </c>
      <c r="B75" s="187" t="s">
        <v>372</v>
      </c>
      <c r="C75" s="10" t="s">
        <v>66</v>
      </c>
    </row>
    <row r="76" spans="1:3">
      <c r="A76" s="176">
        <v>1</v>
      </c>
      <c r="B76" s="193" t="s">
        <v>373</v>
      </c>
      <c r="C76" s="10" t="s">
        <v>72</v>
      </c>
    </row>
    <row r="77" spans="1:3">
      <c r="A77" s="176">
        <v>3</v>
      </c>
      <c r="B77" s="193" t="s">
        <v>373</v>
      </c>
      <c r="C77" s="10" t="s">
        <v>73</v>
      </c>
    </row>
    <row r="78" spans="1:3" ht="15" customHeight="1">
      <c r="A78" s="176">
        <v>1</v>
      </c>
      <c r="B78" s="181" t="s">
        <v>87</v>
      </c>
      <c r="C78" s="10" t="s">
        <v>74</v>
      </c>
    </row>
    <row r="79" spans="1:3">
      <c r="A79" s="176">
        <v>1</v>
      </c>
      <c r="B79" s="181" t="s">
        <v>87</v>
      </c>
      <c r="C79" s="10" t="s">
        <v>75</v>
      </c>
    </row>
    <row r="80" spans="1:3">
      <c r="A80" s="176">
        <v>1</v>
      </c>
      <c r="B80" s="181" t="s">
        <v>87</v>
      </c>
      <c r="C80" s="10" t="s">
        <v>76</v>
      </c>
    </row>
    <row r="81" spans="1:3">
      <c r="A81" s="176">
        <v>2</v>
      </c>
      <c r="B81" s="181" t="s">
        <v>87</v>
      </c>
      <c r="C81" s="10" t="s">
        <v>79</v>
      </c>
    </row>
    <row r="82" spans="1:3">
      <c r="A82" s="176">
        <v>2</v>
      </c>
      <c r="B82" s="181" t="s">
        <v>87</v>
      </c>
      <c r="C82" s="182" t="s">
        <v>82</v>
      </c>
    </row>
    <row r="83" spans="1:3" ht="30" customHeight="1">
      <c r="A83" s="176">
        <v>1</v>
      </c>
      <c r="B83" s="181" t="s">
        <v>87</v>
      </c>
      <c r="C83" s="182" t="s">
        <v>77</v>
      </c>
    </row>
    <row r="84" spans="1:3">
      <c r="A84" s="176">
        <v>1</v>
      </c>
      <c r="B84" s="181" t="s">
        <v>87</v>
      </c>
      <c r="C84" s="182" t="s">
        <v>78</v>
      </c>
    </row>
    <row r="85" spans="1:3" ht="28">
      <c r="A85" s="176">
        <v>2</v>
      </c>
      <c r="B85" s="181" t="s">
        <v>87</v>
      </c>
      <c r="C85" s="182" t="s">
        <v>80</v>
      </c>
    </row>
    <row r="86" spans="1:3">
      <c r="A86" s="176">
        <v>2</v>
      </c>
      <c r="B86" s="181" t="s">
        <v>87</v>
      </c>
      <c r="C86" s="182" t="s">
        <v>81</v>
      </c>
    </row>
    <row r="87" spans="1:3">
      <c r="A87" s="176">
        <v>3</v>
      </c>
      <c r="B87" s="181" t="s">
        <v>87</v>
      </c>
      <c r="C87" s="182" t="s">
        <v>91</v>
      </c>
    </row>
    <row r="88" spans="1:3">
      <c r="A88" s="176">
        <v>3</v>
      </c>
      <c r="B88" s="181" t="s">
        <v>87</v>
      </c>
      <c r="C88" s="182" t="s">
        <v>92</v>
      </c>
    </row>
    <row r="89" spans="1:3">
      <c r="A89" s="176">
        <v>3</v>
      </c>
      <c r="B89" s="181" t="s">
        <v>87</v>
      </c>
      <c r="C89" s="182" t="s">
        <v>83</v>
      </c>
    </row>
    <row r="90" spans="1:3">
      <c r="A90" s="176">
        <v>4</v>
      </c>
      <c r="B90" s="181" t="s">
        <v>87</v>
      </c>
      <c r="C90" s="182" t="s">
        <v>86</v>
      </c>
    </row>
    <row r="91" spans="1:3" ht="15" customHeight="1">
      <c r="A91" s="176">
        <v>4</v>
      </c>
      <c r="B91" s="181" t="s">
        <v>87</v>
      </c>
      <c r="C91" s="10" t="s">
        <v>84</v>
      </c>
    </row>
    <row r="92" spans="1:3">
      <c r="A92" s="176">
        <v>4</v>
      </c>
      <c r="B92" s="181" t="s">
        <v>87</v>
      </c>
      <c r="C92" s="10" t="s">
        <v>85</v>
      </c>
    </row>
  </sheetData>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J15"/>
  <sheetViews>
    <sheetView showGridLines="0" tabSelected="1" topLeftCell="A9" workbookViewId="0">
      <selection activeCell="K15" sqref="K15"/>
    </sheetView>
  </sheetViews>
  <sheetFormatPr baseColWidth="10" defaultColWidth="8.83203125" defaultRowHeight="14" x14ac:dyDescent="0"/>
  <cols>
    <col min="3" max="3" width="3.1640625" style="106" customWidth="1"/>
    <col min="4" max="4" width="7.5" style="106" customWidth="1"/>
    <col min="5" max="5" width="13.1640625" customWidth="1"/>
  </cols>
  <sheetData>
    <row r="4" spans="3:10" ht="26.25" customHeight="1">
      <c r="C4" s="221" t="s">
        <v>375</v>
      </c>
      <c r="D4" s="222"/>
      <c r="E4" s="219" t="s">
        <v>142</v>
      </c>
      <c r="F4" s="219"/>
      <c r="G4" s="219"/>
      <c r="H4" s="219"/>
      <c r="I4" s="219"/>
      <c r="J4" s="155" t="s">
        <v>378</v>
      </c>
    </row>
    <row r="6" spans="3:10" ht="26.25" customHeight="1">
      <c r="C6" s="216" t="s">
        <v>376</v>
      </c>
      <c r="D6" s="216"/>
      <c r="E6" s="217"/>
      <c r="F6" s="223" t="s">
        <v>546</v>
      </c>
      <c r="G6" s="223"/>
      <c r="H6" s="223"/>
      <c r="I6" s="223"/>
    </row>
    <row r="7" spans="3:10" ht="26.25" customHeight="1">
      <c r="C7" s="194"/>
      <c r="D7" s="216" t="s">
        <v>98</v>
      </c>
      <c r="E7" s="217"/>
      <c r="F7" s="224" t="s">
        <v>547</v>
      </c>
      <c r="G7" s="224"/>
      <c r="H7" s="224"/>
      <c r="I7" s="224"/>
    </row>
    <row r="8" spans="3:10" ht="26.25" customHeight="1">
      <c r="C8" s="194"/>
      <c r="D8" s="216" t="s">
        <v>99</v>
      </c>
      <c r="E8" s="217"/>
      <c r="F8" s="224" t="s">
        <v>548</v>
      </c>
      <c r="G8" s="224"/>
      <c r="H8" s="224"/>
      <c r="I8" s="224"/>
    </row>
    <row r="9" spans="3:10">
      <c r="C9" s="194"/>
      <c r="D9" s="194"/>
      <c r="E9" s="107"/>
      <c r="F9" s="106"/>
      <c r="G9" s="106"/>
      <c r="H9" s="106"/>
      <c r="I9" s="106"/>
    </row>
    <row r="10" spans="3:10" ht="26.25" customHeight="1">
      <c r="C10" s="216" t="s">
        <v>376</v>
      </c>
      <c r="D10" s="216"/>
      <c r="E10" s="217"/>
      <c r="F10" s="218"/>
      <c r="G10" s="218"/>
      <c r="H10" s="218"/>
      <c r="I10" s="218"/>
    </row>
    <row r="11" spans="3:10" ht="26.25" customHeight="1">
      <c r="C11" s="194"/>
      <c r="D11" s="216" t="s">
        <v>98</v>
      </c>
      <c r="E11" s="217"/>
      <c r="F11" s="218"/>
      <c r="G11" s="218"/>
      <c r="H11" s="218"/>
      <c r="I11" s="218"/>
    </row>
    <row r="12" spans="3:10" ht="26.25" customHeight="1">
      <c r="C12" s="194"/>
      <c r="D12" s="216" t="s">
        <v>99</v>
      </c>
      <c r="E12" s="217"/>
      <c r="F12" s="218"/>
      <c r="G12" s="218"/>
      <c r="H12" s="218"/>
      <c r="I12" s="218"/>
    </row>
    <row r="13" spans="3:10">
      <c r="C13" s="194"/>
      <c r="D13" s="194"/>
      <c r="E13" s="107"/>
      <c r="F13" s="106"/>
      <c r="G13" s="106"/>
      <c r="H13" s="106"/>
      <c r="I13" s="106"/>
    </row>
    <row r="14" spans="3:10" ht="26.25" customHeight="1">
      <c r="C14" s="216" t="s">
        <v>377</v>
      </c>
      <c r="D14" s="216"/>
      <c r="E14" s="217"/>
      <c r="F14" s="220">
        <v>42165</v>
      </c>
      <c r="G14" s="220"/>
      <c r="H14" s="220"/>
      <c r="I14" s="220"/>
    </row>
    <row r="15" spans="3:10">
      <c r="F15" s="108"/>
      <c r="G15" s="108"/>
      <c r="H15" s="108"/>
      <c r="I15" s="108"/>
    </row>
  </sheetData>
  <sheetProtection algorithmName="SHA-512" hashValue="hb9JhJ+cdcp+CAimnGMiECigsT4VWbkTIbD5qrmyk5Yc2hukcAE9KwbasMrZ7PbRtAHWUqrdxYrUBz/SpDd+KA==" saltValue="O9sgt0wk6Z88t5V9r0kCPA==" spinCount="100000"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formula1>COUNTRY</formula1>
    </dataValidation>
    <dataValidation type="date" showErrorMessage="1" error="Please enter a valid date" sqref="F14:I14">
      <formula1>41640</formula1>
      <formula2>47847</formula2>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7"/>
  <sheetViews>
    <sheetView workbookViewId="0">
      <selection sqref="A1:A1048576"/>
    </sheetView>
  </sheetViews>
  <sheetFormatPr baseColWidth="10" defaultColWidth="8.83203125" defaultRowHeight="14" x14ac:dyDescent="0"/>
  <cols>
    <col min="1" max="1" width="24.5" bestFit="1" customWidth="1"/>
  </cols>
  <sheetData>
    <row r="1" spans="1:1">
      <c r="A1" t="s">
        <v>100</v>
      </c>
    </row>
    <row r="2" spans="1:1">
      <c r="A2" t="s">
        <v>101</v>
      </c>
    </row>
    <row r="3" spans="1:1">
      <c r="A3" t="s">
        <v>102</v>
      </c>
    </row>
    <row r="4" spans="1:1">
      <c r="A4" t="s">
        <v>103</v>
      </c>
    </row>
    <row r="5" spans="1:1">
      <c r="A5" t="s">
        <v>104</v>
      </c>
    </row>
    <row r="6" spans="1:1">
      <c r="A6" t="s">
        <v>105</v>
      </c>
    </row>
    <row r="7" spans="1:1">
      <c r="A7" t="s">
        <v>106</v>
      </c>
    </row>
    <row r="8" spans="1:1">
      <c r="A8" t="s">
        <v>107</v>
      </c>
    </row>
    <row r="9" spans="1:1">
      <c r="A9" t="s">
        <v>108</v>
      </c>
    </row>
    <row r="10" spans="1:1">
      <c r="A10" t="s">
        <v>109</v>
      </c>
    </row>
    <row r="11" spans="1:1">
      <c r="A11" t="s">
        <v>110</v>
      </c>
    </row>
    <row r="12" spans="1:1">
      <c r="A12" t="s">
        <v>111</v>
      </c>
    </row>
    <row r="13" spans="1:1">
      <c r="A13" t="s">
        <v>112</v>
      </c>
    </row>
    <row r="14" spans="1:1">
      <c r="A14" t="s">
        <v>113</v>
      </c>
    </row>
    <row r="15" spans="1:1">
      <c r="A15" t="s">
        <v>114</v>
      </c>
    </row>
    <row r="16" spans="1:1">
      <c r="A16" t="s">
        <v>115</v>
      </c>
    </row>
    <row r="17" spans="1:1">
      <c r="A17" t="s">
        <v>116</v>
      </c>
    </row>
    <row r="18" spans="1:1">
      <c r="A18" t="s">
        <v>117</v>
      </c>
    </row>
    <row r="19" spans="1:1">
      <c r="A19" t="s">
        <v>118</v>
      </c>
    </row>
    <row r="20" spans="1:1">
      <c r="A20" t="s">
        <v>119</v>
      </c>
    </row>
    <row r="21" spans="1:1">
      <c r="A21" t="s">
        <v>120</v>
      </c>
    </row>
    <row r="22" spans="1:1">
      <c r="A22" t="s">
        <v>121</v>
      </c>
    </row>
    <row r="23" spans="1:1">
      <c r="A23" t="s">
        <v>122</v>
      </c>
    </row>
    <row r="24" spans="1:1">
      <c r="A24" t="s">
        <v>123</v>
      </c>
    </row>
    <row r="25" spans="1:1">
      <c r="A25" t="s">
        <v>124</v>
      </c>
    </row>
    <row r="26" spans="1:1">
      <c r="A26" t="s">
        <v>125</v>
      </c>
    </row>
    <row r="27" spans="1:1">
      <c r="A27" t="s">
        <v>126</v>
      </c>
    </row>
    <row r="28" spans="1:1">
      <c r="A28" t="s">
        <v>127</v>
      </c>
    </row>
    <row r="29" spans="1:1">
      <c r="A29" t="s">
        <v>128</v>
      </c>
    </row>
    <row r="30" spans="1:1">
      <c r="A30" t="s">
        <v>129</v>
      </c>
    </row>
    <row r="31" spans="1:1">
      <c r="A31" t="s">
        <v>130</v>
      </c>
    </row>
    <row r="32" spans="1:1">
      <c r="A32" t="s">
        <v>131</v>
      </c>
    </row>
    <row r="33" spans="1:1">
      <c r="A33" t="s">
        <v>132</v>
      </c>
    </row>
    <row r="34" spans="1:1">
      <c r="A34" t="s">
        <v>133</v>
      </c>
    </row>
    <row r="35" spans="1:1">
      <c r="A35" t="s">
        <v>134</v>
      </c>
    </row>
    <row r="36" spans="1:1">
      <c r="A36" t="s">
        <v>135</v>
      </c>
    </row>
    <row r="37" spans="1:1">
      <c r="A37" t="s">
        <v>136</v>
      </c>
    </row>
    <row r="38" spans="1:1">
      <c r="A38" t="s">
        <v>137</v>
      </c>
    </row>
    <row r="39" spans="1:1">
      <c r="A39" t="s">
        <v>138</v>
      </c>
    </row>
    <row r="40" spans="1:1">
      <c r="A40" t="s">
        <v>139</v>
      </c>
    </row>
    <row r="41" spans="1:1">
      <c r="A41" t="s">
        <v>140</v>
      </c>
    </row>
    <row r="42" spans="1:1">
      <c r="A42" t="s">
        <v>141</v>
      </c>
    </row>
    <row r="43" spans="1:1">
      <c r="A43" t="s">
        <v>142</v>
      </c>
    </row>
    <row r="44" spans="1:1">
      <c r="A44" t="s">
        <v>143</v>
      </c>
    </row>
    <row r="45" spans="1:1">
      <c r="A45" t="s">
        <v>144</v>
      </c>
    </row>
    <row r="46" spans="1:1">
      <c r="A46" t="s">
        <v>145</v>
      </c>
    </row>
    <row r="47" spans="1:1">
      <c r="A47" t="s">
        <v>146</v>
      </c>
    </row>
    <row r="48" spans="1:1">
      <c r="A48" t="s">
        <v>147</v>
      </c>
    </row>
    <row r="49" spans="1:1">
      <c r="A49" t="s">
        <v>148</v>
      </c>
    </row>
    <row r="50" spans="1:1">
      <c r="A50" t="s">
        <v>149</v>
      </c>
    </row>
    <row r="51" spans="1:1">
      <c r="A51" t="s">
        <v>150</v>
      </c>
    </row>
    <row r="52" spans="1:1">
      <c r="A52" t="s">
        <v>151</v>
      </c>
    </row>
    <row r="53" spans="1:1">
      <c r="A53" t="s">
        <v>152</v>
      </c>
    </row>
    <row r="54" spans="1:1">
      <c r="A54" t="s">
        <v>153</v>
      </c>
    </row>
    <row r="55" spans="1:1">
      <c r="A55" t="s">
        <v>154</v>
      </c>
    </row>
    <row r="56" spans="1:1">
      <c r="A56" t="s">
        <v>155</v>
      </c>
    </row>
    <row r="57" spans="1:1">
      <c r="A57" t="s">
        <v>156</v>
      </c>
    </row>
    <row r="58" spans="1:1">
      <c r="A58" t="s">
        <v>157</v>
      </c>
    </row>
    <row r="59" spans="1:1">
      <c r="A59" t="s">
        <v>158</v>
      </c>
    </row>
    <row r="60" spans="1:1">
      <c r="A60" t="s">
        <v>159</v>
      </c>
    </row>
    <row r="61" spans="1:1">
      <c r="A61" t="s">
        <v>160</v>
      </c>
    </row>
    <row r="62" spans="1:1">
      <c r="A62" t="s">
        <v>161</v>
      </c>
    </row>
    <row r="63" spans="1:1">
      <c r="A63" t="s">
        <v>162</v>
      </c>
    </row>
    <row r="64" spans="1:1">
      <c r="A64" t="s">
        <v>163</v>
      </c>
    </row>
    <row r="65" spans="1:1">
      <c r="A65" t="s">
        <v>164</v>
      </c>
    </row>
    <row r="66" spans="1:1">
      <c r="A66" t="s">
        <v>165</v>
      </c>
    </row>
    <row r="67" spans="1:1">
      <c r="A67" t="s">
        <v>166</v>
      </c>
    </row>
    <row r="68" spans="1:1">
      <c r="A68" t="s">
        <v>167</v>
      </c>
    </row>
    <row r="69" spans="1:1">
      <c r="A69" t="s">
        <v>168</v>
      </c>
    </row>
    <row r="70" spans="1:1">
      <c r="A70" t="s">
        <v>169</v>
      </c>
    </row>
    <row r="71" spans="1:1">
      <c r="A71" t="s">
        <v>170</v>
      </c>
    </row>
    <row r="72" spans="1:1">
      <c r="A72" t="s">
        <v>171</v>
      </c>
    </row>
    <row r="73" spans="1:1">
      <c r="A73" t="s">
        <v>172</v>
      </c>
    </row>
    <row r="74" spans="1:1">
      <c r="A74" t="s">
        <v>173</v>
      </c>
    </row>
    <row r="75" spans="1:1">
      <c r="A75" t="s">
        <v>174</v>
      </c>
    </row>
    <row r="76" spans="1:1">
      <c r="A76" t="s">
        <v>175</v>
      </c>
    </row>
    <row r="77" spans="1:1">
      <c r="A77" t="s">
        <v>176</v>
      </c>
    </row>
    <row r="78" spans="1:1">
      <c r="A78" t="s">
        <v>177</v>
      </c>
    </row>
    <row r="79" spans="1:1">
      <c r="A79" t="s">
        <v>178</v>
      </c>
    </row>
    <row r="80" spans="1:1">
      <c r="A80" t="s">
        <v>179</v>
      </c>
    </row>
    <row r="81" spans="1:1">
      <c r="A81" t="s">
        <v>180</v>
      </c>
    </row>
    <row r="82" spans="1:1">
      <c r="A82" t="s">
        <v>181</v>
      </c>
    </row>
    <row r="83" spans="1:1">
      <c r="A83" t="s">
        <v>182</v>
      </c>
    </row>
    <row r="84" spans="1:1">
      <c r="A84" t="s">
        <v>183</v>
      </c>
    </row>
    <row r="85" spans="1:1">
      <c r="A85" t="s">
        <v>184</v>
      </c>
    </row>
    <row r="86" spans="1:1">
      <c r="A86" t="s">
        <v>185</v>
      </c>
    </row>
    <row r="87" spans="1:1">
      <c r="A87" t="s">
        <v>186</v>
      </c>
    </row>
    <row r="88" spans="1:1">
      <c r="A88" t="s">
        <v>187</v>
      </c>
    </row>
    <row r="89" spans="1:1">
      <c r="A89" t="s">
        <v>188</v>
      </c>
    </row>
    <row r="90" spans="1:1">
      <c r="A90" t="s">
        <v>189</v>
      </c>
    </row>
    <row r="91" spans="1:1">
      <c r="A91" t="s">
        <v>190</v>
      </c>
    </row>
    <row r="92" spans="1:1">
      <c r="A92" t="s">
        <v>191</v>
      </c>
    </row>
    <row r="93" spans="1:1">
      <c r="A93" t="s">
        <v>192</v>
      </c>
    </row>
    <row r="94" spans="1:1">
      <c r="A94" t="s">
        <v>193</v>
      </c>
    </row>
    <row r="95" spans="1:1">
      <c r="A95" t="s">
        <v>194</v>
      </c>
    </row>
    <row r="96" spans="1:1">
      <c r="A96" t="s">
        <v>195</v>
      </c>
    </row>
    <row r="97" spans="1:1">
      <c r="A97" t="s">
        <v>196</v>
      </c>
    </row>
    <row r="98" spans="1:1">
      <c r="A98" t="s">
        <v>197</v>
      </c>
    </row>
    <row r="99" spans="1:1">
      <c r="A99" t="s">
        <v>198</v>
      </c>
    </row>
    <row r="100" spans="1:1">
      <c r="A100" t="s">
        <v>199</v>
      </c>
    </row>
    <row r="101" spans="1:1">
      <c r="A101" t="s">
        <v>200</v>
      </c>
    </row>
    <row r="102" spans="1:1">
      <c r="A102" t="s">
        <v>201</v>
      </c>
    </row>
    <row r="103" spans="1:1">
      <c r="A103" t="s">
        <v>202</v>
      </c>
    </row>
    <row r="104" spans="1:1">
      <c r="A104" t="s">
        <v>203</v>
      </c>
    </row>
    <row r="105" spans="1:1">
      <c r="A105" t="s">
        <v>204</v>
      </c>
    </row>
    <row r="106" spans="1:1">
      <c r="A106" t="s">
        <v>205</v>
      </c>
    </row>
    <row r="107" spans="1:1">
      <c r="A107" t="s">
        <v>206</v>
      </c>
    </row>
    <row r="108" spans="1:1">
      <c r="A108" t="s">
        <v>207</v>
      </c>
    </row>
    <row r="109" spans="1:1">
      <c r="A109" t="s">
        <v>208</v>
      </c>
    </row>
    <row r="110" spans="1:1">
      <c r="A110" t="s">
        <v>209</v>
      </c>
    </row>
    <row r="111" spans="1:1">
      <c r="A111" t="s">
        <v>210</v>
      </c>
    </row>
    <row r="112" spans="1:1">
      <c r="A112" t="s">
        <v>211</v>
      </c>
    </row>
    <row r="113" spans="1:1">
      <c r="A113" t="s">
        <v>212</v>
      </c>
    </row>
    <row r="114" spans="1:1">
      <c r="A114" t="s">
        <v>213</v>
      </c>
    </row>
    <row r="115" spans="1:1">
      <c r="A115" t="s">
        <v>214</v>
      </c>
    </row>
    <row r="116" spans="1:1">
      <c r="A116" t="s">
        <v>215</v>
      </c>
    </row>
    <row r="117" spans="1:1">
      <c r="A117" t="s">
        <v>216</v>
      </c>
    </row>
    <row r="118" spans="1:1">
      <c r="A118" t="s">
        <v>217</v>
      </c>
    </row>
    <row r="119" spans="1:1">
      <c r="A119" t="s">
        <v>218</v>
      </c>
    </row>
    <row r="120" spans="1:1">
      <c r="A120" t="s">
        <v>219</v>
      </c>
    </row>
    <row r="121" spans="1:1">
      <c r="A121" t="s">
        <v>220</v>
      </c>
    </row>
    <row r="122" spans="1:1">
      <c r="A122" t="s">
        <v>221</v>
      </c>
    </row>
    <row r="123" spans="1:1">
      <c r="A123" t="s">
        <v>222</v>
      </c>
    </row>
    <row r="124" spans="1:1">
      <c r="A124" t="s">
        <v>223</v>
      </c>
    </row>
    <row r="125" spans="1:1">
      <c r="A125" t="s">
        <v>224</v>
      </c>
    </row>
    <row r="126" spans="1:1">
      <c r="A126" t="s">
        <v>225</v>
      </c>
    </row>
    <row r="127" spans="1:1">
      <c r="A127" t="s">
        <v>226</v>
      </c>
    </row>
    <row r="128" spans="1:1">
      <c r="A128" t="s">
        <v>227</v>
      </c>
    </row>
    <row r="129" spans="1:1">
      <c r="A129" t="s">
        <v>228</v>
      </c>
    </row>
    <row r="130" spans="1:1">
      <c r="A130" t="s">
        <v>229</v>
      </c>
    </row>
    <row r="131" spans="1:1">
      <c r="A131" t="s">
        <v>230</v>
      </c>
    </row>
    <row r="132" spans="1:1">
      <c r="A132" t="s">
        <v>231</v>
      </c>
    </row>
    <row r="133" spans="1:1">
      <c r="A133" t="s">
        <v>232</v>
      </c>
    </row>
    <row r="134" spans="1:1">
      <c r="A134" t="s">
        <v>233</v>
      </c>
    </row>
    <row r="135" spans="1:1">
      <c r="A135" t="s">
        <v>234</v>
      </c>
    </row>
    <row r="136" spans="1:1">
      <c r="A136" t="s">
        <v>235</v>
      </c>
    </row>
    <row r="137" spans="1:1">
      <c r="A137" t="s">
        <v>236</v>
      </c>
    </row>
    <row r="138" spans="1:1">
      <c r="A138" t="s">
        <v>237</v>
      </c>
    </row>
    <row r="139" spans="1:1">
      <c r="A139" t="s">
        <v>238</v>
      </c>
    </row>
    <row r="140" spans="1:1">
      <c r="A140" t="s">
        <v>239</v>
      </c>
    </row>
    <row r="141" spans="1:1">
      <c r="A141" t="s">
        <v>240</v>
      </c>
    </row>
    <row r="142" spans="1:1">
      <c r="A142" t="s">
        <v>241</v>
      </c>
    </row>
    <row r="143" spans="1:1">
      <c r="A143" t="s">
        <v>242</v>
      </c>
    </row>
    <row r="144" spans="1:1">
      <c r="A144" t="s">
        <v>243</v>
      </c>
    </row>
    <row r="145" spans="1:1">
      <c r="A145" t="s">
        <v>244</v>
      </c>
    </row>
    <row r="146" spans="1:1">
      <c r="A146" t="s">
        <v>245</v>
      </c>
    </row>
    <row r="147" spans="1:1">
      <c r="A147" t="s">
        <v>246</v>
      </c>
    </row>
    <row r="148" spans="1:1">
      <c r="A148" t="s">
        <v>247</v>
      </c>
    </row>
    <row r="149" spans="1:1">
      <c r="A149" t="s">
        <v>248</v>
      </c>
    </row>
    <row r="150" spans="1:1">
      <c r="A150" t="s">
        <v>249</v>
      </c>
    </row>
    <row r="151" spans="1:1">
      <c r="A151" t="s">
        <v>250</v>
      </c>
    </row>
    <row r="152" spans="1:1">
      <c r="A152" t="s">
        <v>251</v>
      </c>
    </row>
    <row r="153" spans="1:1">
      <c r="A153" t="s">
        <v>252</v>
      </c>
    </row>
    <row r="154" spans="1:1">
      <c r="A154" t="s">
        <v>253</v>
      </c>
    </row>
    <row r="155" spans="1:1">
      <c r="A155" t="s">
        <v>254</v>
      </c>
    </row>
    <row r="156" spans="1:1">
      <c r="A156" t="s">
        <v>255</v>
      </c>
    </row>
    <row r="157" spans="1:1">
      <c r="A157" t="s">
        <v>256</v>
      </c>
    </row>
    <row r="158" spans="1:1">
      <c r="A158" t="s">
        <v>257</v>
      </c>
    </row>
    <row r="159" spans="1:1">
      <c r="A159" t="s">
        <v>258</v>
      </c>
    </row>
    <row r="160" spans="1:1">
      <c r="A160" t="s">
        <v>259</v>
      </c>
    </row>
    <row r="161" spans="1:1">
      <c r="A161" t="s">
        <v>260</v>
      </c>
    </row>
    <row r="162" spans="1:1">
      <c r="A162" t="s">
        <v>261</v>
      </c>
    </row>
    <row r="163" spans="1:1">
      <c r="A163" t="s">
        <v>262</v>
      </c>
    </row>
    <row r="164" spans="1:1">
      <c r="A164" t="s">
        <v>263</v>
      </c>
    </row>
    <row r="165" spans="1:1">
      <c r="A165" t="s">
        <v>264</v>
      </c>
    </row>
    <row r="166" spans="1:1">
      <c r="A166" t="s">
        <v>265</v>
      </c>
    </row>
    <row r="167" spans="1:1">
      <c r="A167" t="s">
        <v>266</v>
      </c>
    </row>
    <row r="168" spans="1:1">
      <c r="A168" t="s">
        <v>267</v>
      </c>
    </row>
    <row r="169" spans="1:1">
      <c r="A169" t="s">
        <v>268</v>
      </c>
    </row>
    <row r="170" spans="1:1">
      <c r="A170" t="s">
        <v>269</v>
      </c>
    </row>
    <row r="171" spans="1:1">
      <c r="A171" t="s">
        <v>270</v>
      </c>
    </row>
    <row r="172" spans="1:1">
      <c r="A172" t="s">
        <v>271</v>
      </c>
    </row>
    <row r="173" spans="1:1">
      <c r="A173" t="s">
        <v>272</v>
      </c>
    </row>
    <row r="174" spans="1:1">
      <c r="A174" t="s">
        <v>273</v>
      </c>
    </row>
    <row r="175" spans="1:1">
      <c r="A175" t="s">
        <v>274</v>
      </c>
    </row>
    <row r="176" spans="1:1">
      <c r="A176" t="s">
        <v>275</v>
      </c>
    </row>
    <row r="177" spans="1:1">
      <c r="A177" t="s">
        <v>276</v>
      </c>
    </row>
    <row r="178" spans="1:1">
      <c r="A178" t="s">
        <v>277</v>
      </c>
    </row>
    <row r="179" spans="1:1">
      <c r="A179" t="s">
        <v>278</v>
      </c>
    </row>
    <row r="180" spans="1:1">
      <c r="A180" t="s">
        <v>279</v>
      </c>
    </row>
    <row r="181" spans="1:1">
      <c r="A181" t="s">
        <v>280</v>
      </c>
    </row>
    <row r="182" spans="1:1">
      <c r="A182" t="s">
        <v>281</v>
      </c>
    </row>
    <row r="183" spans="1:1">
      <c r="A183" t="s">
        <v>282</v>
      </c>
    </row>
    <row r="184" spans="1:1">
      <c r="A184" t="s">
        <v>283</v>
      </c>
    </row>
    <row r="185" spans="1:1">
      <c r="A185" t="s">
        <v>284</v>
      </c>
    </row>
    <row r="186" spans="1:1">
      <c r="A186" t="s">
        <v>285</v>
      </c>
    </row>
    <row r="187" spans="1:1">
      <c r="A187" t="s">
        <v>286</v>
      </c>
    </row>
    <row r="188" spans="1:1">
      <c r="A188" t="s">
        <v>287</v>
      </c>
    </row>
    <row r="189" spans="1:1">
      <c r="A189" t="s">
        <v>288</v>
      </c>
    </row>
    <row r="190" spans="1:1">
      <c r="A190" t="s">
        <v>289</v>
      </c>
    </row>
    <row r="191" spans="1:1">
      <c r="A191" t="s">
        <v>290</v>
      </c>
    </row>
    <row r="192" spans="1:1">
      <c r="A192" t="s">
        <v>291</v>
      </c>
    </row>
    <row r="193" spans="1:1">
      <c r="A193" t="s">
        <v>292</v>
      </c>
    </row>
    <row r="194" spans="1:1">
      <c r="A194" t="s">
        <v>293</v>
      </c>
    </row>
    <row r="195" spans="1:1">
      <c r="A195" t="s">
        <v>294</v>
      </c>
    </row>
    <row r="196" spans="1:1">
      <c r="A196" t="s">
        <v>295</v>
      </c>
    </row>
    <row r="197" spans="1:1">
      <c r="A197" t="s">
        <v>296</v>
      </c>
    </row>
    <row r="198" spans="1:1">
      <c r="A198" t="s">
        <v>297</v>
      </c>
    </row>
    <row r="199" spans="1:1">
      <c r="A199" t="s">
        <v>298</v>
      </c>
    </row>
    <row r="200" spans="1:1">
      <c r="A200" t="s">
        <v>299</v>
      </c>
    </row>
    <row r="201" spans="1:1">
      <c r="A201" t="s">
        <v>300</v>
      </c>
    </row>
    <row r="202" spans="1:1">
      <c r="A202" t="s">
        <v>301</v>
      </c>
    </row>
    <row r="203" spans="1:1">
      <c r="A203" t="s">
        <v>302</v>
      </c>
    </row>
    <row r="204" spans="1:1">
      <c r="A204" t="s">
        <v>303</v>
      </c>
    </row>
    <row r="205" spans="1:1">
      <c r="A205" t="s">
        <v>304</v>
      </c>
    </row>
    <row r="206" spans="1:1">
      <c r="A206" t="s">
        <v>305</v>
      </c>
    </row>
    <row r="207" spans="1:1">
      <c r="A207" t="s">
        <v>306</v>
      </c>
    </row>
    <row r="208" spans="1:1">
      <c r="A208" t="s">
        <v>307</v>
      </c>
    </row>
    <row r="209" spans="1:1">
      <c r="A209" t="s">
        <v>308</v>
      </c>
    </row>
    <row r="210" spans="1:1">
      <c r="A210" t="s">
        <v>309</v>
      </c>
    </row>
    <row r="211" spans="1:1">
      <c r="A211" t="s">
        <v>310</v>
      </c>
    </row>
    <row r="212" spans="1:1">
      <c r="A212" t="s">
        <v>311</v>
      </c>
    </row>
    <row r="213" spans="1:1">
      <c r="A213" t="s">
        <v>312</v>
      </c>
    </row>
    <row r="214" spans="1:1">
      <c r="A214" t="s">
        <v>313</v>
      </c>
    </row>
    <row r="215" spans="1:1">
      <c r="A215" t="s">
        <v>314</v>
      </c>
    </row>
    <row r="216" spans="1:1">
      <c r="A216" t="s">
        <v>315</v>
      </c>
    </row>
    <row r="217" spans="1:1">
      <c r="A217" t="s">
        <v>316</v>
      </c>
    </row>
    <row r="218" spans="1:1">
      <c r="A218" t="s">
        <v>317</v>
      </c>
    </row>
    <row r="219" spans="1:1">
      <c r="A219" t="s">
        <v>318</v>
      </c>
    </row>
    <row r="220" spans="1:1">
      <c r="A220" t="s">
        <v>319</v>
      </c>
    </row>
    <row r="221" spans="1:1">
      <c r="A221" t="s">
        <v>320</v>
      </c>
    </row>
    <row r="222" spans="1:1">
      <c r="A222" t="s">
        <v>321</v>
      </c>
    </row>
    <row r="223" spans="1:1">
      <c r="A223" t="s">
        <v>322</v>
      </c>
    </row>
    <row r="224" spans="1:1">
      <c r="A224" t="s">
        <v>323</v>
      </c>
    </row>
    <row r="225" spans="1:1">
      <c r="A225" t="s">
        <v>324</v>
      </c>
    </row>
    <row r="226" spans="1:1">
      <c r="A226" t="s">
        <v>325</v>
      </c>
    </row>
    <row r="227" spans="1:1">
      <c r="A227" t="s">
        <v>326</v>
      </c>
    </row>
    <row r="228" spans="1:1">
      <c r="A228" t="s">
        <v>327</v>
      </c>
    </row>
    <row r="229" spans="1:1">
      <c r="A229" t="s">
        <v>328</v>
      </c>
    </row>
    <row r="230" spans="1:1">
      <c r="A230" t="s">
        <v>329</v>
      </c>
    </row>
    <row r="231" spans="1:1">
      <c r="A231" t="s">
        <v>330</v>
      </c>
    </row>
    <row r="232" spans="1:1">
      <c r="A232" t="s">
        <v>331</v>
      </c>
    </row>
    <row r="233" spans="1:1">
      <c r="A233" t="s">
        <v>332</v>
      </c>
    </row>
    <row r="234" spans="1:1">
      <c r="A234" t="s">
        <v>333</v>
      </c>
    </row>
    <row r="235" spans="1:1">
      <c r="A235" t="s">
        <v>334</v>
      </c>
    </row>
    <row r="236" spans="1:1">
      <c r="A236" t="s">
        <v>335</v>
      </c>
    </row>
    <row r="237" spans="1:1">
      <c r="A237" t="s">
        <v>336</v>
      </c>
    </row>
    <row r="238" spans="1:1">
      <c r="A238" t="s">
        <v>337</v>
      </c>
    </row>
    <row r="239" spans="1:1">
      <c r="A239" t="s">
        <v>338</v>
      </c>
    </row>
    <row r="240" spans="1:1">
      <c r="A240" t="s">
        <v>339</v>
      </c>
    </row>
    <row r="241" spans="1:1">
      <c r="A241" t="s">
        <v>340</v>
      </c>
    </row>
    <row r="242" spans="1:1">
      <c r="A242" t="s">
        <v>341</v>
      </c>
    </row>
    <row r="243" spans="1:1">
      <c r="A243" t="s">
        <v>342</v>
      </c>
    </row>
    <row r="244" spans="1:1">
      <c r="A244" t="s">
        <v>343</v>
      </c>
    </row>
    <row r="245" spans="1:1">
      <c r="A245" t="s">
        <v>344</v>
      </c>
    </row>
    <row r="246" spans="1:1">
      <c r="A246" t="s">
        <v>345</v>
      </c>
    </row>
    <row r="247" spans="1:1">
      <c r="A247" t="s">
        <v>346</v>
      </c>
    </row>
    <row r="248" spans="1:1">
      <c r="A248" t="s">
        <v>347</v>
      </c>
    </row>
    <row r="249" spans="1:1">
      <c r="A249" t="s">
        <v>348</v>
      </c>
    </row>
    <row r="250" spans="1:1">
      <c r="A250" t="s">
        <v>349</v>
      </c>
    </row>
    <row r="251" spans="1:1">
      <c r="A251" t="s">
        <v>350</v>
      </c>
    </row>
    <row r="252" spans="1:1">
      <c r="A252" t="s">
        <v>351</v>
      </c>
    </row>
    <row r="253" spans="1:1">
      <c r="A253" t="s">
        <v>352</v>
      </c>
    </row>
    <row r="254" spans="1:1">
      <c r="A254" t="s">
        <v>353</v>
      </c>
    </row>
    <row r="255" spans="1:1">
      <c r="A255" t="s">
        <v>354</v>
      </c>
    </row>
    <row r="256" spans="1:1">
      <c r="A256" t="s">
        <v>355</v>
      </c>
    </row>
    <row r="257" spans="1:1">
      <c r="A257" t="s">
        <v>356</v>
      </c>
    </row>
    <row r="258" spans="1:1">
      <c r="A258" t="s">
        <v>357</v>
      </c>
    </row>
    <row r="259" spans="1:1">
      <c r="A259" t="s">
        <v>358</v>
      </c>
    </row>
    <row r="260" spans="1:1">
      <c r="A260" t="s">
        <v>359</v>
      </c>
    </row>
    <row r="261" spans="1:1">
      <c r="A261" t="s">
        <v>360</v>
      </c>
    </row>
    <row r="262" spans="1:1">
      <c r="A262" t="s">
        <v>361</v>
      </c>
    </row>
    <row r="263" spans="1:1">
      <c r="A263" t="s">
        <v>362</v>
      </c>
    </row>
    <row r="264" spans="1:1">
      <c r="A264" t="s">
        <v>363</v>
      </c>
    </row>
    <row r="265" spans="1:1">
      <c r="A265" t="s">
        <v>364</v>
      </c>
    </row>
    <row r="266" spans="1:1">
      <c r="A266" t="s">
        <v>365</v>
      </c>
    </row>
    <row r="267" spans="1:1">
      <c r="A267" t="s">
        <v>366</v>
      </c>
    </row>
  </sheetData>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workbookViewId="0">
      <selection activeCell="F21" sqref="F21"/>
    </sheetView>
  </sheetViews>
  <sheetFormatPr baseColWidth="10" defaultColWidth="8.83203125" defaultRowHeight="14" x14ac:dyDescent="0"/>
  <cols>
    <col min="1" max="1" width="9.1640625" style="4" customWidth="1"/>
    <col min="2" max="2" width="14.83203125" style="5" customWidth="1"/>
    <col min="3" max="3" width="56" style="5" customWidth="1"/>
    <col min="4" max="4" width="50.33203125" style="5" customWidth="1"/>
    <col min="6" max="6" width="38.83203125" customWidth="1"/>
    <col min="7" max="7" width="79.5" style="199" customWidth="1"/>
  </cols>
  <sheetData>
    <row r="1" spans="1:7" ht="15">
      <c r="A1" s="14" t="s">
        <v>379</v>
      </c>
    </row>
    <row r="2" spans="1:7">
      <c r="A2" s="2" t="s">
        <v>380</v>
      </c>
    </row>
    <row r="3" spans="1:7">
      <c r="A3" s="2"/>
    </row>
    <row r="4" spans="1:7" s="1" customFormat="1" ht="28">
      <c r="A4" s="99" t="s">
        <v>426</v>
      </c>
      <c r="B4" s="103" t="s">
        <v>97</v>
      </c>
      <c r="C4" s="100" t="s">
        <v>427</v>
      </c>
      <c r="D4" s="130" t="s">
        <v>428</v>
      </c>
      <c r="E4" s="101" t="s">
        <v>1</v>
      </c>
      <c r="F4" s="102" t="s">
        <v>429</v>
      </c>
      <c r="G4" s="200"/>
    </row>
    <row r="5" spans="1:7" s="17" customFormat="1" ht="15" customHeight="1">
      <c r="A5" s="18">
        <v>0</v>
      </c>
      <c r="B5" s="225" t="s">
        <v>381</v>
      </c>
      <c r="C5" s="23" t="s">
        <v>382</v>
      </c>
      <c r="D5" s="19"/>
      <c r="E5" s="111">
        <v>1</v>
      </c>
      <c r="F5" s="127"/>
      <c r="G5" s="199"/>
    </row>
    <row r="6" spans="1:7" s="17" customFormat="1" ht="28">
      <c r="A6" s="20">
        <v>1</v>
      </c>
      <c r="B6" s="226"/>
      <c r="C6" s="24" t="s">
        <v>383</v>
      </c>
      <c r="D6" s="10" t="s">
        <v>384</v>
      </c>
      <c r="E6" s="109">
        <v>1</v>
      </c>
      <c r="F6" s="128"/>
      <c r="G6" s="199"/>
    </row>
    <row r="7" spans="1:7" s="17" customFormat="1" ht="28">
      <c r="A7" s="21">
        <v>2</v>
      </c>
      <c r="B7" s="227"/>
      <c r="C7" s="25" t="s">
        <v>385</v>
      </c>
      <c r="D7" s="22" t="s">
        <v>386</v>
      </c>
      <c r="E7" s="113">
        <v>1</v>
      </c>
      <c r="F7" s="129"/>
      <c r="G7" s="199"/>
    </row>
    <row r="8" spans="1:7" s="17" customFormat="1" ht="15" customHeight="1">
      <c r="A8" s="18">
        <v>0</v>
      </c>
      <c r="B8" s="225" t="s">
        <v>387</v>
      </c>
      <c r="C8" s="23" t="s">
        <v>388</v>
      </c>
      <c r="D8" s="19"/>
      <c r="E8" s="111">
        <v>1</v>
      </c>
      <c r="F8" s="127"/>
      <c r="G8" s="199"/>
    </row>
    <row r="9" spans="1:7" s="17" customFormat="1" ht="28">
      <c r="A9" s="20">
        <v>1</v>
      </c>
      <c r="B9" s="226"/>
      <c r="C9" s="24" t="s">
        <v>389</v>
      </c>
      <c r="D9" s="10" t="s">
        <v>384</v>
      </c>
      <c r="E9" s="109">
        <v>1</v>
      </c>
      <c r="F9" s="128" t="s">
        <v>549</v>
      </c>
      <c r="G9" s="199"/>
    </row>
    <row r="10" spans="1:7" s="17" customFormat="1" ht="28">
      <c r="A10" s="21">
        <v>2</v>
      </c>
      <c r="B10" s="227"/>
      <c r="C10" s="25" t="s">
        <v>390</v>
      </c>
      <c r="D10" s="22" t="s">
        <v>386</v>
      </c>
      <c r="E10" s="113">
        <v>1</v>
      </c>
      <c r="F10" s="129" t="s">
        <v>550</v>
      </c>
      <c r="G10" s="199"/>
    </row>
    <row r="11" spans="1:7" s="17" customFormat="1" ht="15" customHeight="1">
      <c r="A11" s="18">
        <v>1</v>
      </c>
      <c r="B11" s="225" t="s">
        <v>391</v>
      </c>
      <c r="C11" t="s">
        <v>392</v>
      </c>
      <c r="D11" s="44" t="s">
        <v>393</v>
      </c>
      <c r="E11" s="111">
        <v>1</v>
      </c>
      <c r="F11" s="127" t="s">
        <v>551</v>
      </c>
      <c r="G11" s="199"/>
    </row>
    <row r="12" spans="1:7" s="17" customFormat="1" ht="28">
      <c r="A12" s="20">
        <v>1</v>
      </c>
      <c r="B12" s="226"/>
      <c r="C12" s="24" t="s">
        <v>394</v>
      </c>
      <c r="D12" s="10" t="s">
        <v>395</v>
      </c>
      <c r="E12" s="109">
        <v>1</v>
      </c>
      <c r="F12" s="128">
        <v>2001</v>
      </c>
      <c r="G12" s="199"/>
    </row>
    <row r="13" spans="1:7" s="17" customFormat="1" ht="28">
      <c r="A13" s="20">
        <v>1</v>
      </c>
      <c r="B13" s="226"/>
      <c r="C13" s="26" t="s">
        <v>396</v>
      </c>
      <c r="D13" s="10"/>
      <c r="E13" s="109">
        <v>1</v>
      </c>
      <c r="F13" s="128" t="s">
        <v>552</v>
      </c>
      <c r="G13" s="199"/>
    </row>
    <row r="14" spans="1:7" s="17" customFormat="1" ht="28">
      <c r="A14" s="20">
        <v>1</v>
      </c>
      <c r="B14" s="226"/>
      <c r="C14" s="26" t="s">
        <v>397</v>
      </c>
      <c r="D14" s="10"/>
      <c r="E14" s="109">
        <v>1</v>
      </c>
      <c r="F14" s="128"/>
      <c r="G14" s="199"/>
    </row>
    <row r="15" spans="1:7" s="17" customFormat="1" ht="42">
      <c r="A15" s="20">
        <v>1</v>
      </c>
      <c r="B15" s="226"/>
      <c r="C15" s="26" t="s">
        <v>398</v>
      </c>
      <c r="D15" s="10"/>
      <c r="E15" s="109">
        <v>1</v>
      </c>
      <c r="F15" s="128"/>
      <c r="G15" s="199"/>
    </row>
    <row r="16" spans="1:7" s="17" customFormat="1" ht="42">
      <c r="A16" s="21">
        <v>2</v>
      </c>
      <c r="B16" s="227"/>
      <c r="C16" s="25" t="s">
        <v>399</v>
      </c>
      <c r="D16" s="22"/>
      <c r="E16" s="113">
        <v>1</v>
      </c>
      <c r="F16" s="129" t="s">
        <v>553</v>
      </c>
      <c r="G16" s="199"/>
    </row>
    <row r="17" spans="2:7" s="17" customFormat="1">
      <c r="B17" s="9"/>
      <c r="C17" s="9"/>
      <c r="D17" s="9"/>
      <c r="G17" s="199"/>
    </row>
    <row r="18" spans="2:7">
      <c r="E18" s="83"/>
    </row>
  </sheetData>
  <sheetProtection algorithmName="SHA-512" hashValue="zHTc3sfb/QGMz40ZSHei1VXOTiIgQtXpp+X4o3jA5FwwTCFCgAtMOJ9R1l3j5KVFBPjTC1o8W8Jo13g1dF+Nxg==" saltValue="TnrnB9gkBI4GLTML/L+iEA==" spinCount="100000" sheet="1" objects="1" scenarios="1"/>
  <mergeCells count="3">
    <mergeCell ref="B5:B7"/>
    <mergeCell ref="B8:B10"/>
    <mergeCell ref="B11:B16"/>
  </mergeCells>
  <dataValidations count="2">
    <dataValidation type="whole" operator="lessThanOrEqual" allowBlank="1" showErrorMessage="1" error="Please enter:_x000a_&quot;0&quot; if No or None, or_x000a_&quot;1&quot; if Yes_x000a_" sqref="E1:E3 E5:E1048576">
      <formula1>1</formula1>
    </dataValidation>
    <dataValidation type="whole" operator="lessThanOrEqual" allowBlank="1" showErrorMessage="1" error="Please enter:_x000a_&quot;0&quot; if No or None, or_x000a_&quot;1&quot; if Yes" sqref="E4">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workbookViewId="0">
      <selection activeCell="F13" sqref="F13"/>
    </sheetView>
  </sheetViews>
  <sheetFormatPr baseColWidth="10" defaultColWidth="8.83203125" defaultRowHeight="14" x14ac:dyDescent="0"/>
  <cols>
    <col min="1" max="1" width="9.1640625" style="4" customWidth="1"/>
    <col min="2" max="2" width="14.83203125" style="5" customWidth="1"/>
    <col min="3" max="3" width="56" style="5" customWidth="1"/>
    <col min="4" max="4" width="50.33203125" customWidth="1"/>
    <col min="6" max="6" width="38.83203125" customWidth="1"/>
    <col min="7" max="7" width="66.5" style="199" customWidth="1"/>
  </cols>
  <sheetData>
    <row r="1" spans="1:7" ht="15">
      <c r="A1" s="14" t="s">
        <v>400</v>
      </c>
      <c r="D1" s="5"/>
    </row>
    <row r="2" spans="1:7">
      <c r="A2" s="2" t="s">
        <v>380</v>
      </c>
      <c r="D2" s="5"/>
    </row>
    <row r="3" spans="1:7">
      <c r="A3" s="2"/>
      <c r="D3" s="5"/>
    </row>
    <row r="4" spans="1:7" s="139" customFormat="1" ht="28">
      <c r="A4" s="99" t="s">
        <v>426</v>
      </c>
      <c r="B4" s="103" t="s">
        <v>97</v>
      </c>
      <c r="C4" s="100" t="s">
        <v>427</v>
      </c>
      <c r="D4" s="130" t="s">
        <v>428</v>
      </c>
      <c r="E4" s="101" t="s">
        <v>1</v>
      </c>
      <c r="F4" s="102" t="s">
        <v>429</v>
      </c>
      <c r="G4" s="201"/>
    </row>
    <row r="5" spans="1:7" ht="28">
      <c r="A5" s="30">
        <v>1</v>
      </c>
      <c r="B5" s="225" t="s">
        <v>16</v>
      </c>
      <c r="C5" s="33" t="s">
        <v>401</v>
      </c>
      <c r="D5" s="19"/>
      <c r="E5" s="111">
        <v>1</v>
      </c>
      <c r="F5" s="127" t="s">
        <v>554</v>
      </c>
    </row>
    <row r="6" spans="1:7" ht="28">
      <c r="A6" s="31">
        <v>1</v>
      </c>
      <c r="B6" s="226"/>
      <c r="C6" s="34" t="s">
        <v>402</v>
      </c>
      <c r="D6" s="10"/>
      <c r="E6" s="109">
        <v>1</v>
      </c>
      <c r="F6" s="127" t="s">
        <v>554</v>
      </c>
    </row>
    <row r="7" spans="1:7" ht="28">
      <c r="A7" s="31">
        <v>1</v>
      </c>
      <c r="B7" s="226"/>
      <c r="C7" s="34" t="s">
        <v>403</v>
      </c>
      <c r="D7" s="10"/>
      <c r="E7" s="109">
        <v>1</v>
      </c>
      <c r="F7" s="128" t="s">
        <v>555</v>
      </c>
    </row>
    <row r="8" spans="1:7" ht="28">
      <c r="A8" s="31">
        <v>2</v>
      </c>
      <c r="B8" s="226"/>
      <c r="C8" s="35" t="s">
        <v>404</v>
      </c>
      <c r="D8" s="10" t="s">
        <v>405</v>
      </c>
      <c r="E8" s="109">
        <v>0</v>
      </c>
      <c r="F8" s="128"/>
    </row>
    <row r="9" spans="1:7" ht="42">
      <c r="A9" s="31">
        <v>2</v>
      </c>
      <c r="B9" s="226"/>
      <c r="C9" s="35" t="s">
        <v>406</v>
      </c>
      <c r="D9" s="39" t="s">
        <v>407</v>
      </c>
      <c r="E9" s="109">
        <v>0</v>
      </c>
      <c r="F9" s="128" t="s">
        <v>556</v>
      </c>
    </row>
    <row r="10" spans="1:7">
      <c r="A10" s="31">
        <v>3</v>
      </c>
      <c r="B10" s="226"/>
      <c r="C10" s="34" t="s">
        <v>408</v>
      </c>
      <c r="D10" s="39"/>
      <c r="E10" s="109">
        <v>0</v>
      </c>
      <c r="F10" s="128"/>
    </row>
    <row r="11" spans="1:7">
      <c r="A11" s="32">
        <v>5</v>
      </c>
      <c r="B11" s="227"/>
      <c r="C11" s="36" t="s">
        <v>409</v>
      </c>
      <c r="D11" s="22"/>
      <c r="E11" s="113">
        <v>0</v>
      </c>
      <c r="F11" s="129"/>
    </row>
    <row r="12" spans="1:7" ht="56">
      <c r="A12" s="30">
        <v>2</v>
      </c>
      <c r="B12" s="225" t="s">
        <v>410</v>
      </c>
      <c r="C12" s="23" t="s">
        <v>411</v>
      </c>
      <c r="D12" s="19"/>
      <c r="E12" s="111">
        <v>0</v>
      </c>
      <c r="F12" s="127" t="s">
        <v>557</v>
      </c>
    </row>
    <row r="13" spans="1:7" ht="28">
      <c r="A13" s="32">
        <v>3</v>
      </c>
      <c r="B13" s="227"/>
      <c r="C13" s="25" t="s">
        <v>412</v>
      </c>
      <c r="D13" s="22"/>
      <c r="E13" s="113">
        <v>0</v>
      </c>
      <c r="F13" s="129"/>
    </row>
    <row r="14" spans="1:7">
      <c r="D14" s="82"/>
      <c r="E14" s="84"/>
      <c r="F14" s="82"/>
    </row>
    <row r="15" spans="1:7">
      <c r="C15" s="3"/>
      <c r="D15" s="77"/>
      <c r="E15" s="83"/>
      <c r="F15" s="77"/>
    </row>
    <row r="16" spans="1:7">
      <c r="C16" s="3"/>
      <c r="D16" s="77"/>
      <c r="E16" s="83"/>
      <c r="F16" s="77"/>
    </row>
    <row r="17" spans="3:3">
      <c r="C17" s="3"/>
    </row>
  </sheetData>
  <sheetProtection algorithmName="SHA-512" hashValue="rC5Ctl4y1OT1lCon+rhJU6v6tQRO3zd8lh7/h6vHIA9Cwvv/qAKFLGjiwBMlqA6ppZY7iAaShR9T53D1hMALng==" saltValue="jOHveM42ON7mLGUw5wbUAQ==" spinCount="100000" sheet="1" objects="1" scenarios="1"/>
  <mergeCells count="2">
    <mergeCell ref="B5:B11"/>
    <mergeCell ref="B12:B13"/>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topLeftCell="A3" workbookViewId="0">
      <selection activeCell="F7" sqref="F7"/>
    </sheetView>
  </sheetViews>
  <sheetFormatPr baseColWidth="10" defaultColWidth="8.83203125" defaultRowHeight="14" x14ac:dyDescent="0"/>
  <cols>
    <col min="1" max="1" width="9.1640625" style="4" customWidth="1"/>
    <col min="2" max="2" width="14.83203125" style="5" customWidth="1"/>
    <col min="3" max="3" width="56" style="5" customWidth="1"/>
    <col min="4" max="4" width="50.33203125" customWidth="1"/>
    <col min="6" max="6" width="38.83203125" customWidth="1"/>
    <col min="7" max="7" width="56.1640625" style="199" customWidth="1"/>
  </cols>
  <sheetData>
    <row r="1" spans="1:7" ht="15">
      <c r="A1" s="14" t="s">
        <v>413</v>
      </c>
      <c r="D1" s="5"/>
    </row>
    <row r="2" spans="1:7">
      <c r="A2" s="2" t="s">
        <v>380</v>
      </c>
      <c r="D2" s="5"/>
    </row>
    <row r="3" spans="1:7">
      <c r="A3" s="2"/>
      <c r="D3" s="5"/>
    </row>
    <row r="4" spans="1:7" s="139" customFormat="1" ht="28">
      <c r="A4" s="99" t="s">
        <v>426</v>
      </c>
      <c r="B4" s="103" t="s">
        <v>97</v>
      </c>
      <c r="C4" s="100" t="s">
        <v>427</v>
      </c>
      <c r="D4" s="130" t="s">
        <v>428</v>
      </c>
      <c r="E4" s="101" t="s">
        <v>1</v>
      </c>
      <c r="F4" s="102" t="s">
        <v>429</v>
      </c>
      <c r="G4" s="201"/>
    </row>
    <row r="5" spans="1:7" s="17" customFormat="1" ht="30" customHeight="1">
      <c r="A5" s="28">
        <v>0</v>
      </c>
      <c r="B5" s="225" t="s">
        <v>414</v>
      </c>
      <c r="C5" s="41" t="s">
        <v>415</v>
      </c>
      <c r="D5" s="39" t="s">
        <v>425</v>
      </c>
      <c r="E5" s="109">
        <v>1</v>
      </c>
      <c r="F5" s="124" t="s">
        <v>559</v>
      </c>
      <c r="G5" s="199"/>
    </row>
    <row r="6" spans="1:7" s="17" customFormat="1" ht="42">
      <c r="A6" s="28">
        <v>0</v>
      </c>
      <c r="B6" s="226"/>
      <c r="C6" s="41" t="s">
        <v>416</v>
      </c>
      <c r="D6" s="45" t="s">
        <v>521</v>
      </c>
      <c r="E6" s="109">
        <v>1</v>
      </c>
      <c r="F6" s="124"/>
      <c r="G6" s="199"/>
    </row>
    <row r="7" spans="1:7" s="17" customFormat="1" ht="28">
      <c r="A7" s="27">
        <v>1</v>
      </c>
      <c r="B7" s="225" t="s">
        <v>417</v>
      </c>
      <c r="C7" s="42" t="s">
        <v>418</v>
      </c>
      <c r="D7" s="205" t="s">
        <v>522</v>
      </c>
      <c r="E7" s="111">
        <v>1</v>
      </c>
      <c r="F7" s="125"/>
      <c r="G7" s="199"/>
    </row>
    <row r="8" spans="1:7" s="17" customFormat="1" ht="28">
      <c r="A8" s="28">
        <v>2</v>
      </c>
      <c r="B8" s="226"/>
      <c r="C8" s="26" t="s">
        <v>419</v>
      </c>
      <c r="D8" s="206" t="s">
        <v>522</v>
      </c>
      <c r="E8" s="109">
        <v>1</v>
      </c>
      <c r="F8" s="124"/>
      <c r="G8" s="199"/>
    </row>
    <row r="9" spans="1:7" s="17" customFormat="1" ht="28">
      <c r="A9" s="28">
        <v>3</v>
      </c>
      <c r="B9" s="226"/>
      <c r="C9" s="41" t="s">
        <v>420</v>
      </c>
      <c r="D9" s="206" t="s">
        <v>522</v>
      </c>
      <c r="E9" s="109">
        <v>0</v>
      </c>
      <c r="F9" s="124"/>
      <c r="G9" s="199"/>
    </row>
    <row r="10" spans="1:7" s="17" customFormat="1" ht="28">
      <c r="A10" s="28">
        <v>3</v>
      </c>
      <c r="B10" s="226"/>
      <c r="C10" s="41" t="s">
        <v>421</v>
      </c>
      <c r="D10" s="206" t="s">
        <v>522</v>
      </c>
      <c r="E10" s="109">
        <v>0</v>
      </c>
      <c r="F10" s="124"/>
      <c r="G10" s="199"/>
    </row>
    <row r="11" spans="1:7" s="17" customFormat="1" ht="28">
      <c r="A11" s="29">
        <v>3</v>
      </c>
      <c r="B11" s="227"/>
      <c r="C11" s="43" t="s">
        <v>422</v>
      </c>
      <c r="D11" s="48" t="s">
        <v>523</v>
      </c>
      <c r="E11" s="113">
        <v>1</v>
      </c>
      <c r="F11" s="126"/>
      <c r="G11" s="199"/>
    </row>
    <row r="12" spans="1:7" s="17" customFormat="1" ht="28">
      <c r="A12" s="28">
        <v>2</v>
      </c>
      <c r="B12" s="226" t="s">
        <v>423</v>
      </c>
      <c r="C12" s="24" t="s">
        <v>424</v>
      </c>
      <c r="D12" s="28"/>
      <c r="E12" s="109">
        <v>1</v>
      </c>
      <c r="F12" s="124"/>
      <c r="G12" s="199"/>
    </row>
    <row r="13" spans="1:7" s="17" customFormat="1">
      <c r="A13" s="196">
        <v>2</v>
      </c>
      <c r="B13" s="226"/>
      <c r="C13" s="26" t="s">
        <v>526</v>
      </c>
      <c r="D13" s="207" t="s">
        <v>525</v>
      </c>
      <c r="E13" s="109">
        <v>0</v>
      </c>
      <c r="F13" s="124" t="s">
        <v>558</v>
      </c>
      <c r="G13" s="199"/>
    </row>
    <row r="14" spans="1:7" s="17" customFormat="1" ht="28">
      <c r="A14" s="197">
        <v>2</v>
      </c>
      <c r="B14" s="227"/>
      <c r="C14" s="208" t="s">
        <v>524</v>
      </c>
      <c r="D14" s="210" t="s">
        <v>525</v>
      </c>
      <c r="E14" s="113">
        <v>0</v>
      </c>
      <c r="F14" s="126"/>
      <c r="G14" s="199"/>
    </row>
    <row r="15" spans="1:7">
      <c r="C15" s="3"/>
      <c r="D15" s="209"/>
    </row>
    <row r="16" spans="1:7">
      <c r="C16" s="3"/>
    </row>
  </sheetData>
  <sheetProtection algorithmName="SHA-512" hashValue="k88/QKkCCqIJeOt5o87hco1qJkwrZZP6puZK2uu8UoKD4pkG8CDLQF0NndOq+Cv4cMS8x/3OC9ReB7udryebgQ==" saltValue="d8SaP4f1l98CMhQi+VhCRg==" spinCount="100000" sheet="1" objects="1" scenarios="1"/>
  <mergeCells count="3">
    <mergeCell ref="B5:B6"/>
    <mergeCell ref="B7:B11"/>
    <mergeCell ref="B12:B14"/>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topLeftCell="A11" workbookViewId="0">
      <selection activeCell="F22" sqref="F22"/>
    </sheetView>
  </sheetViews>
  <sheetFormatPr baseColWidth="10" defaultColWidth="8.83203125" defaultRowHeight="14" x14ac:dyDescent="0"/>
  <cols>
    <col min="1" max="1" width="9.1640625" style="4" customWidth="1"/>
    <col min="2" max="2" width="14.83203125" customWidth="1"/>
    <col min="3" max="3" width="56" style="5" customWidth="1"/>
    <col min="4" max="4" width="50.33203125" customWidth="1"/>
    <col min="6" max="6" width="38.83203125" customWidth="1"/>
    <col min="7" max="7" width="53.33203125" style="199" customWidth="1"/>
  </cols>
  <sheetData>
    <row r="1" spans="1:7" ht="15">
      <c r="A1" s="14" t="s">
        <v>430</v>
      </c>
      <c r="D1" s="5"/>
    </row>
    <row r="2" spans="1:7">
      <c r="A2" s="2" t="s">
        <v>380</v>
      </c>
      <c r="D2" s="5"/>
    </row>
    <row r="4" spans="1:7" s="139" customFormat="1" ht="28">
      <c r="A4" s="99" t="s">
        <v>426</v>
      </c>
      <c r="B4" s="103" t="s">
        <v>97</v>
      </c>
      <c r="C4" s="100" t="s">
        <v>427</v>
      </c>
      <c r="D4" s="130" t="s">
        <v>428</v>
      </c>
      <c r="E4" s="101" t="s">
        <v>1</v>
      </c>
      <c r="F4" s="102" t="s">
        <v>429</v>
      </c>
      <c r="G4" s="201"/>
    </row>
    <row r="5" spans="1:7" ht="28">
      <c r="A5" s="27">
        <v>0</v>
      </c>
      <c r="B5" s="228" t="s">
        <v>431</v>
      </c>
      <c r="C5" s="44" t="s">
        <v>432</v>
      </c>
      <c r="D5" s="27"/>
      <c r="E5" s="111">
        <v>1</v>
      </c>
      <c r="F5" s="121" t="s">
        <v>560</v>
      </c>
    </row>
    <row r="6" spans="1:7" ht="42">
      <c r="A6" s="29">
        <v>2</v>
      </c>
      <c r="B6" s="229"/>
      <c r="C6" s="47" t="s">
        <v>433</v>
      </c>
      <c r="D6" s="40" t="s">
        <v>407</v>
      </c>
      <c r="E6" s="113">
        <v>1</v>
      </c>
      <c r="F6" s="122"/>
    </row>
    <row r="7" spans="1:7" ht="30" customHeight="1">
      <c r="A7" s="45">
        <v>1</v>
      </c>
      <c r="B7" s="230" t="s">
        <v>434</v>
      </c>
      <c r="C7" s="38" t="s">
        <v>435</v>
      </c>
      <c r="D7" s="28"/>
      <c r="E7" s="109">
        <v>1</v>
      </c>
      <c r="F7" s="123"/>
    </row>
    <row r="8" spans="1:7">
      <c r="A8" s="45">
        <v>1</v>
      </c>
      <c r="B8" s="230"/>
      <c r="C8" s="38" t="s">
        <v>436</v>
      </c>
      <c r="D8" s="28" t="s">
        <v>437</v>
      </c>
      <c r="E8" s="109">
        <v>0</v>
      </c>
      <c r="F8" s="123"/>
    </row>
    <row r="9" spans="1:7" ht="42">
      <c r="A9" s="45">
        <v>2</v>
      </c>
      <c r="B9" s="230"/>
      <c r="C9" s="38" t="s">
        <v>438</v>
      </c>
      <c r="D9" s="28" t="s">
        <v>437</v>
      </c>
      <c r="E9" s="109">
        <v>0</v>
      </c>
      <c r="F9" s="123"/>
    </row>
    <row r="10" spans="1:7" ht="28">
      <c r="A10" s="45">
        <v>3</v>
      </c>
      <c r="B10" s="230"/>
      <c r="C10" s="38" t="s">
        <v>439</v>
      </c>
      <c r="D10" s="28" t="s">
        <v>437</v>
      </c>
      <c r="E10" s="109">
        <v>0</v>
      </c>
      <c r="F10" s="123"/>
    </row>
    <row r="11" spans="1:7" ht="15" customHeight="1">
      <c r="A11" s="27">
        <v>1</v>
      </c>
      <c r="B11" s="228" t="s">
        <v>440</v>
      </c>
      <c r="C11" s="44" t="s">
        <v>441</v>
      </c>
      <c r="D11" s="27"/>
      <c r="E11" s="111">
        <v>1</v>
      </c>
      <c r="F11" s="121" t="s">
        <v>561</v>
      </c>
    </row>
    <row r="12" spans="1:7" ht="42">
      <c r="A12" s="28">
        <v>1</v>
      </c>
      <c r="B12" s="230"/>
      <c r="C12" s="39" t="s">
        <v>442</v>
      </c>
      <c r="D12" s="28"/>
      <c r="E12" s="109">
        <v>1</v>
      </c>
      <c r="F12" s="123" t="s">
        <v>562</v>
      </c>
    </row>
    <row r="13" spans="1:7" ht="28">
      <c r="A13" s="28">
        <v>1</v>
      </c>
      <c r="B13" s="230"/>
      <c r="C13" s="39" t="s">
        <v>443</v>
      </c>
      <c r="D13" s="39" t="s">
        <v>444</v>
      </c>
      <c r="E13" s="109">
        <v>1</v>
      </c>
      <c r="F13" s="123" t="s">
        <v>563</v>
      </c>
    </row>
    <row r="14" spans="1:7" ht="28">
      <c r="A14" s="28">
        <v>1</v>
      </c>
      <c r="B14" s="230"/>
      <c r="C14" s="39" t="s">
        <v>445</v>
      </c>
      <c r="D14" s="28" t="s">
        <v>446</v>
      </c>
      <c r="E14" s="109">
        <v>0</v>
      </c>
      <c r="F14" s="123"/>
    </row>
    <row r="15" spans="1:7" ht="28">
      <c r="A15" s="45">
        <v>1</v>
      </c>
      <c r="B15" s="230"/>
      <c r="C15" s="38" t="s">
        <v>447</v>
      </c>
      <c r="D15" s="46"/>
      <c r="E15" s="109">
        <v>1</v>
      </c>
      <c r="F15" s="123"/>
    </row>
    <row r="16" spans="1:7" ht="28">
      <c r="A16" s="45">
        <v>2</v>
      </c>
      <c r="B16" s="230"/>
      <c r="C16" s="38" t="s">
        <v>448</v>
      </c>
      <c r="D16" s="39" t="s">
        <v>449</v>
      </c>
      <c r="E16" s="109">
        <v>0</v>
      </c>
      <c r="F16" s="123"/>
    </row>
    <row r="17" spans="1:6" ht="28">
      <c r="A17" s="45">
        <v>3</v>
      </c>
      <c r="B17" s="230"/>
      <c r="C17" s="211" t="s">
        <v>527</v>
      </c>
      <c r="D17" s="28"/>
      <c r="E17" s="109">
        <v>1</v>
      </c>
      <c r="F17" s="123"/>
    </row>
    <row r="18" spans="1:6" ht="28">
      <c r="A18" s="45">
        <v>3</v>
      </c>
      <c r="B18" s="230"/>
      <c r="C18" s="39" t="s">
        <v>450</v>
      </c>
      <c r="D18" s="28" t="s">
        <v>446</v>
      </c>
      <c r="E18" s="109">
        <v>0</v>
      </c>
      <c r="F18" s="123"/>
    </row>
    <row r="19" spans="1:6" ht="28">
      <c r="A19" s="45">
        <v>4</v>
      </c>
      <c r="B19" s="230"/>
      <c r="C19" s="39" t="s">
        <v>451</v>
      </c>
      <c r="D19" s="28" t="s">
        <v>446</v>
      </c>
      <c r="E19" s="109">
        <v>0</v>
      </c>
      <c r="F19" s="123"/>
    </row>
    <row r="20" spans="1:6" ht="28">
      <c r="A20" s="48">
        <v>5</v>
      </c>
      <c r="B20" s="229"/>
      <c r="C20" s="40" t="s">
        <v>452</v>
      </c>
      <c r="D20" s="29" t="s">
        <v>446</v>
      </c>
      <c r="E20" s="113">
        <v>0</v>
      </c>
      <c r="F20" s="122"/>
    </row>
    <row r="21" spans="1:6" ht="42">
      <c r="A21" s="28">
        <v>1</v>
      </c>
      <c r="B21" s="230" t="s">
        <v>453</v>
      </c>
      <c r="C21" s="39" t="s">
        <v>454</v>
      </c>
      <c r="D21" s="28" t="s">
        <v>455</v>
      </c>
      <c r="E21" s="109">
        <v>0</v>
      </c>
      <c r="F21" s="123"/>
    </row>
    <row r="22" spans="1:6">
      <c r="A22" s="29">
        <v>2</v>
      </c>
      <c r="B22" s="229"/>
      <c r="C22" s="47" t="s">
        <v>456</v>
      </c>
      <c r="D22" s="29"/>
      <c r="E22" s="113">
        <v>1</v>
      </c>
      <c r="F22" s="122" t="s">
        <v>564</v>
      </c>
    </row>
  </sheetData>
  <sheetProtection algorithmName="SHA-512" hashValue="cBALQ+Xmdg7a/1ngqOQVPZSNZ640HeB66wMhYBjgsVYnfvG+jmxU35c9X1eqjBphcwnbc+ZmFNiQQWdVEeBaOA==" saltValue="PCFn4oApBCAc0JNFj39Thw==" spinCount="100000" sheet="1" objects="1" scenarios="1"/>
  <mergeCells count="4">
    <mergeCell ref="B5:B6"/>
    <mergeCell ref="B7:B10"/>
    <mergeCell ref="B11:B20"/>
    <mergeCell ref="B21:B22"/>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topLeftCell="A5" workbookViewId="0">
      <selection activeCell="E22" sqref="E22"/>
    </sheetView>
  </sheetViews>
  <sheetFormatPr baseColWidth="10" defaultColWidth="8.83203125" defaultRowHeight="14" x14ac:dyDescent="0"/>
  <cols>
    <col min="1" max="1" width="9.1640625" style="4" customWidth="1"/>
    <col min="2" max="2" width="14.83203125" style="74" customWidth="1"/>
    <col min="3" max="3" width="56" style="5" customWidth="1"/>
    <col min="4" max="4" width="50.33203125" customWidth="1"/>
    <col min="6" max="6" width="38.83203125" customWidth="1"/>
    <col min="7" max="7" width="56.83203125" style="199" customWidth="1"/>
  </cols>
  <sheetData>
    <row r="1" spans="1:7" ht="15">
      <c r="A1" s="14" t="s">
        <v>457</v>
      </c>
      <c r="D1" s="5"/>
    </row>
    <row r="2" spans="1:7">
      <c r="A2" s="2" t="s">
        <v>380</v>
      </c>
      <c r="D2" s="5"/>
    </row>
    <row r="4" spans="1:7" s="139" customFormat="1" ht="28">
      <c r="A4" s="99" t="s">
        <v>426</v>
      </c>
      <c r="B4" s="103" t="s">
        <v>97</v>
      </c>
      <c r="C4" s="100" t="s">
        <v>427</v>
      </c>
      <c r="D4" s="130" t="s">
        <v>428</v>
      </c>
      <c r="E4" s="101" t="s">
        <v>1</v>
      </c>
      <c r="F4" s="102" t="s">
        <v>429</v>
      </c>
      <c r="G4" s="201"/>
    </row>
    <row r="5" spans="1:7" s="8" customFormat="1" ht="28">
      <c r="A5" s="66">
        <v>1</v>
      </c>
      <c r="B5" s="231" t="s">
        <v>458</v>
      </c>
      <c r="C5" s="41" t="s">
        <v>461</v>
      </c>
      <c r="D5" s="158"/>
      <c r="E5" s="115">
        <v>1</v>
      </c>
      <c r="F5" s="116" t="s">
        <v>565</v>
      </c>
      <c r="G5" s="202"/>
    </row>
    <row r="6" spans="1:7" s="8" customFormat="1" ht="42">
      <c r="A6" s="66">
        <v>1</v>
      </c>
      <c r="B6" s="232"/>
      <c r="C6" s="26" t="s">
        <v>462</v>
      </c>
      <c r="D6" s="162" t="s">
        <v>530</v>
      </c>
      <c r="E6" s="115">
        <v>1</v>
      </c>
      <c r="F6" s="116" t="s">
        <v>566</v>
      </c>
      <c r="G6" s="202"/>
    </row>
    <row r="7" spans="1:7" s="8" customFormat="1" ht="28">
      <c r="A7" s="66">
        <v>2</v>
      </c>
      <c r="B7" s="232"/>
      <c r="C7" s="26" t="s">
        <v>463</v>
      </c>
      <c r="D7" s="158"/>
      <c r="E7" s="115">
        <v>1</v>
      </c>
      <c r="F7" s="116" t="s">
        <v>567</v>
      </c>
      <c r="G7" s="202"/>
    </row>
    <row r="8" spans="1:7" s="8" customFormat="1">
      <c r="A8" s="66">
        <v>2</v>
      </c>
      <c r="B8" s="232"/>
      <c r="C8" s="212" t="s">
        <v>528</v>
      </c>
      <c r="D8" s="158"/>
      <c r="E8" s="115">
        <v>1</v>
      </c>
      <c r="F8" s="116"/>
      <c r="G8" s="202"/>
    </row>
    <row r="9" spans="1:7" s="8" customFormat="1" ht="56">
      <c r="A9" s="67">
        <v>3</v>
      </c>
      <c r="B9" s="232"/>
      <c r="C9" s="41" t="s">
        <v>464</v>
      </c>
      <c r="D9" s="158"/>
      <c r="E9" s="115">
        <v>1</v>
      </c>
      <c r="F9" s="116" t="s">
        <v>568</v>
      </c>
      <c r="G9" s="202"/>
    </row>
    <row r="10" spans="1:7" s="8" customFormat="1" ht="28">
      <c r="A10" s="67">
        <v>3</v>
      </c>
      <c r="B10" s="232"/>
      <c r="C10" s="41" t="s">
        <v>465</v>
      </c>
      <c r="D10" s="158"/>
      <c r="E10" s="115">
        <v>0</v>
      </c>
      <c r="F10" s="116" t="s">
        <v>569</v>
      </c>
      <c r="G10" s="202"/>
    </row>
    <row r="11" spans="1:7" s="8" customFormat="1" ht="28">
      <c r="A11" s="67">
        <v>5</v>
      </c>
      <c r="B11" s="232"/>
      <c r="C11" s="72" t="s">
        <v>466</v>
      </c>
      <c r="D11" s="158"/>
      <c r="E11" s="115">
        <v>0</v>
      </c>
      <c r="F11" s="116" t="s">
        <v>569</v>
      </c>
      <c r="G11" s="202"/>
    </row>
    <row r="12" spans="1:7" s="8" customFormat="1" ht="30" customHeight="1">
      <c r="A12" s="70">
        <v>1</v>
      </c>
      <c r="B12" s="231" t="s">
        <v>459</v>
      </c>
      <c r="C12" s="76" t="s">
        <v>467</v>
      </c>
      <c r="D12" s="159"/>
      <c r="E12" s="117">
        <v>1</v>
      </c>
      <c r="F12" s="118"/>
      <c r="G12" s="202"/>
    </row>
    <row r="13" spans="1:7" s="8" customFormat="1" ht="28">
      <c r="A13" s="66">
        <v>2</v>
      </c>
      <c r="B13" s="232"/>
      <c r="C13" s="73" t="s">
        <v>468</v>
      </c>
      <c r="D13" s="158"/>
      <c r="E13" s="115">
        <v>1</v>
      </c>
      <c r="F13" s="116"/>
      <c r="G13" s="202"/>
    </row>
    <row r="14" spans="1:7" s="8" customFormat="1" ht="28">
      <c r="A14" s="66">
        <v>2</v>
      </c>
      <c r="B14" s="232"/>
      <c r="C14" s="73" t="s">
        <v>469</v>
      </c>
      <c r="D14" s="158"/>
      <c r="E14" s="115">
        <v>1</v>
      </c>
      <c r="F14" s="116" t="s">
        <v>570</v>
      </c>
      <c r="G14" s="202"/>
    </row>
    <row r="15" spans="1:7" s="8" customFormat="1" ht="42">
      <c r="A15" s="66">
        <v>3</v>
      </c>
      <c r="B15" s="232"/>
      <c r="C15" s="24" t="s">
        <v>470</v>
      </c>
      <c r="D15" s="158" t="s">
        <v>471</v>
      </c>
      <c r="E15" s="115">
        <v>0</v>
      </c>
      <c r="F15" s="116"/>
      <c r="G15" s="202"/>
    </row>
    <row r="16" spans="1:7" s="8" customFormat="1" ht="28">
      <c r="A16" s="66">
        <v>4</v>
      </c>
      <c r="B16" s="232"/>
      <c r="C16" s="24" t="s">
        <v>472</v>
      </c>
      <c r="D16" s="158"/>
      <c r="E16" s="115">
        <v>0</v>
      </c>
      <c r="F16" s="116"/>
      <c r="G16" s="202"/>
    </row>
    <row r="17" spans="1:7" s="8" customFormat="1" ht="28">
      <c r="A17" s="71">
        <v>5</v>
      </c>
      <c r="B17" s="233"/>
      <c r="C17" s="25" t="s">
        <v>473</v>
      </c>
      <c r="D17" s="160"/>
      <c r="E17" s="119">
        <v>0</v>
      </c>
      <c r="F17" s="120"/>
      <c r="G17" s="202"/>
    </row>
    <row r="18" spans="1:7" s="8" customFormat="1" ht="30" customHeight="1">
      <c r="A18" s="67">
        <v>1</v>
      </c>
      <c r="B18" s="231" t="s">
        <v>460</v>
      </c>
      <c r="C18" s="24" t="s">
        <v>474</v>
      </c>
      <c r="D18" s="158"/>
      <c r="E18" s="115">
        <v>0</v>
      </c>
      <c r="F18" s="116"/>
      <c r="G18" s="202"/>
    </row>
    <row r="19" spans="1:7" s="8" customFormat="1" ht="28">
      <c r="A19" s="67">
        <v>1</v>
      </c>
      <c r="B19" s="232"/>
      <c r="C19" s="24" t="s">
        <v>475</v>
      </c>
      <c r="D19" s="158"/>
      <c r="E19" s="115">
        <v>1</v>
      </c>
      <c r="F19" s="116"/>
      <c r="G19" s="202"/>
    </row>
    <row r="20" spans="1:7" s="8" customFormat="1" ht="28">
      <c r="A20" s="67">
        <v>2</v>
      </c>
      <c r="B20" s="232"/>
      <c r="C20" s="73" t="s">
        <v>476</v>
      </c>
      <c r="D20" s="158" t="s">
        <v>477</v>
      </c>
      <c r="E20" s="115">
        <v>0</v>
      </c>
      <c r="F20" s="116"/>
      <c r="G20" s="202"/>
    </row>
    <row r="21" spans="1:7" s="8" customFormat="1" ht="28">
      <c r="A21" s="68">
        <v>2</v>
      </c>
      <c r="B21" s="232"/>
      <c r="C21" s="73" t="s">
        <v>478</v>
      </c>
      <c r="D21" s="158"/>
      <c r="E21" s="115">
        <v>1</v>
      </c>
      <c r="F21" s="116"/>
      <c r="G21" s="202"/>
    </row>
    <row r="22" spans="1:7" s="8" customFormat="1">
      <c r="A22" s="68">
        <v>3</v>
      </c>
      <c r="B22" s="232"/>
      <c r="C22" s="24" t="s">
        <v>479</v>
      </c>
      <c r="D22" s="158" t="s">
        <v>480</v>
      </c>
      <c r="E22" s="115">
        <v>0</v>
      </c>
      <c r="F22" s="116"/>
      <c r="G22" s="202"/>
    </row>
    <row r="23" spans="1:7" s="8" customFormat="1" ht="28">
      <c r="A23" s="66">
        <v>3</v>
      </c>
      <c r="B23" s="232"/>
      <c r="C23" s="41" t="s">
        <v>481</v>
      </c>
      <c r="D23" s="158" t="s">
        <v>482</v>
      </c>
      <c r="E23" s="115">
        <v>0</v>
      </c>
      <c r="F23" s="116"/>
      <c r="G23" s="202"/>
    </row>
    <row r="24" spans="1:7" s="8" customFormat="1" ht="42">
      <c r="A24" s="66">
        <v>3</v>
      </c>
      <c r="B24" s="232"/>
      <c r="C24" s="41" t="s">
        <v>483</v>
      </c>
      <c r="D24" s="162" t="s">
        <v>484</v>
      </c>
      <c r="E24" s="115">
        <v>0</v>
      </c>
      <c r="F24" s="116"/>
      <c r="G24" s="202"/>
    </row>
    <row r="25" spans="1:7" s="8" customFormat="1">
      <c r="A25" s="66">
        <v>4</v>
      </c>
      <c r="B25" s="232"/>
      <c r="C25" s="24" t="s">
        <v>485</v>
      </c>
      <c r="D25" s="158"/>
      <c r="E25" s="115">
        <v>0</v>
      </c>
      <c r="F25" s="116"/>
      <c r="G25" s="202"/>
    </row>
    <row r="26" spans="1:7" s="8" customFormat="1" ht="42">
      <c r="A26" s="66">
        <v>4</v>
      </c>
      <c r="B26" s="232"/>
      <c r="C26" s="24" t="s">
        <v>486</v>
      </c>
      <c r="D26" s="158"/>
      <c r="E26" s="115">
        <v>0</v>
      </c>
      <c r="F26" s="116"/>
      <c r="G26" s="202"/>
    </row>
    <row r="27" spans="1:7" s="8" customFormat="1">
      <c r="A27" s="66">
        <v>4</v>
      </c>
      <c r="B27" s="232"/>
      <c r="C27" s="24" t="s">
        <v>487</v>
      </c>
      <c r="D27" s="158"/>
      <c r="E27" s="115">
        <v>1</v>
      </c>
      <c r="F27" s="116" t="s">
        <v>571</v>
      </c>
      <c r="G27" s="202"/>
    </row>
    <row r="28" spans="1:7" s="8" customFormat="1" ht="28">
      <c r="A28" s="66">
        <v>4</v>
      </c>
      <c r="B28" s="232"/>
      <c r="C28" s="24" t="s">
        <v>488</v>
      </c>
      <c r="D28" s="158"/>
      <c r="E28" s="115">
        <v>0</v>
      </c>
      <c r="F28" s="116"/>
      <c r="G28" s="202"/>
    </row>
    <row r="29" spans="1:7" s="8" customFormat="1">
      <c r="A29" s="69">
        <v>5</v>
      </c>
      <c r="B29" s="233"/>
      <c r="C29" s="25" t="s">
        <v>489</v>
      </c>
      <c r="D29" s="161"/>
      <c r="E29" s="119">
        <v>0</v>
      </c>
      <c r="F29" s="120"/>
      <c r="G29" s="202"/>
    </row>
    <row r="30" spans="1:7" s="8" customFormat="1">
      <c r="A30" s="13"/>
      <c r="B30" s="75"/>
      <c r="C30" s="12"/>
      <c r="G30" s="202"/>
    </row>
    <row r="31" spans="1:7" s="8" customFormat="1">
      <c r="A31" s="13"/>
      <c r="B31" s="75"/>
      <c r="C31" s="12"/>
      <c r="G31" s="202"/>
    </row>
    <row r="32" spans="1:7" s="8" customFormat="1">
      <c r="A32" s="13"/>
      <c r="B32" s="75"/>
      <c r="C32" s="12"/>
      <c r="G32" s="202"/>
    </row>
    <row r="33" spans="1:7" s="8" customFormat="1">
      <c r="A33" s="13"/>
      <c r="B33" s="75"/>
      <c r="C33" s="12"/>
      <c r="G33" s="202"/>
    </row>
  </sheetData>
  <sheetProtection algorithmName="SHA-512" hashValue="jinrm3h1TMQuocgVMb08RR5ccO3F43q2Bo70S6jitf2mSXa0oP+dysPwu7y7sss81ZVr/R6WhC957HYw8Z8Zew==" saltValue="120UjPel31AIQXtxsHTw8Q==" spinCount="100000" sheet="1" objects="1" scenarios="1"/>
  <mergeCells count="3">
    <mergeCell ref="B5:B11"/>
    <mergeCell ref="B18:B29"/>
    <mergeCell ref="B12:B17"/>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workbookViewId="0">
      <selection activeCell="D6" sqref="D6"/>
    </sheetView>
  </sheetViews>
  <sheetFormatPr baseColWidth="10" defaultColWidth="8.83203125" defaultRowHeight="14" x14ac:dyDescent="0"/>
  <cols>
    <col min="1" max="1" width="9.1640625" style="4" customWidth="1"/>
    <col min="2" max="2" width="2.6640625" customWidth="1"/>
    <col min="3" max="3" width="56" style="5" customWidth="1"/>
    <col min="4" max="4" width="50.33203125" customWidth="1"/>
    <col min="6" max="6" width="38.83203125" customWidth="1"/>
    <col min="7" max="7" width="53.1640625" style="199" customWidth="1"/>
  </cols>
  <sheetData>
    <row r="1" spans="1:7" ht="15">
      <c r="A1" s="14" t="s">
        <v>490</v>
      </c>
      <c r="D1" s="5"/>
    </row>
    <row r="2" spans="1:7">
      <c r="A2" s="2" t="s">
        <v>380</v>
      </c>
      <c r="D2" s="5"/>
    </row>
    <row r="4" spans="1:7" s="139" customFormat="1" ht="28">
      <c r="A4" s="99" t="s">
        <v>426</v>
      </c>
      <c r="B4" s="103" t="s">
        <v>97</v>
      </c>
      <c r="C4" s="100" t="s">
        <v>427</v>
      </c>
      <c r="D4" s="130" t="s">
        <v>428</v>
      </c>
      <c r="E4" s="101" t="s">
        <v>1</v>
      </c>
      <c r="F4" s="102" t="s">
        <v>429</v>
      </c>
      <c r="G4" s="201"/>
    </row>
    <row r="5" spans="1:7" ht="28">
      <c r="A5" s="31">
        <v>1</v>
      </c>
      <c r="B5" s="79"/>
      <c r="C5" s="24" t="s">
        <v>491</v>
      </c>
      <c r="D5" s="77" t="s">
        <v>493</v>
      </c>
      <c r="E5" s="109">
        <v>0</v>
      </c>
      <c r="F5" s="110"/>
    </row>
    <row r="6" spans="1:7" ht="28">
      <c r="A6" s="31">
        <v>3</v>
      </c>
      <c r="B6" s="80"/>
      <c r="C6" s="24" t="s">
        <v>492</v>
      </c>
      <c r="D6" s="213" t="s">
        <v>529</v>
      </c>
      <c r="E6" s="109">
        <v>0</v>
      </c>
      <c r="F6" s="110"/>
    </row>
    <row r="7" spans="1:7" ht="28">
      <c r="A7" s="32">
        <v>3</v>
      </c>
      <c r="B7" s="81"/>
      <c r="C7" s="25" t="s">
        <v>450</v>
      </c>
      <c r="D7" s="78"/>
      <c r="E7" s="113">
        <v>0</v>
      </c>
      <c r="F7" s="114"/>
    </row>
    <row r="10" spans="1:7">
      <c r="B10" s="6"/>
      <c r="C10" s="7"/>
    </row>
    <row r="15" spans="1:7">
      <c r="B15" s="6"/>
    </row>
    <row r="18" spans="3:3">
      <c r="C18" s="3"/>
    </row>
    <row r="19" spans="3:3">
      <c r="C19" s="3"/>
    </row>
    <row r="20" spans="3:3">
      <c r="C20" s="3"/>
    </row>
  </sheetData>
  <sheetProtection algorithmName="SHA-512" hashValue="Jl4vmIZiR6ZCkppl8N5IKucjCNnEd0exwkTALJsNVMGPzD4m2GkBxedoA8ol7KGFkxJpixWPT06MTM5j4Z+MYg==" saltValue="2CvSKxKRHoLRxqwwBYLV+w==" spinCount="100000" sheet="1" objects="1" scenarios="1"/>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13</vt:i4>
      </vt:variant>
    </vt:vector>
  </HeadingPairs>
  <TitlesOfParts>
    <vt:vector size="13" baseType="lpstr">
      <vt:lpstr>INSTRUCTIONS</vt:lpstr>
      <vt:lpstr>Country profile</vt:lpstr>
      <vt:lpstr>country</vt:lpstr>
      <vt:lpstr>Legislation</vt:lpstr>
      <vt:lpstr>Data coll &amp; ax</vt:lpstr>
      <vt:lpstr>Diagnostique lab</vt:lpstr>
      <vt:lpstr>IEC</vt:lpstr>
      <vt:lpstr>Prev &amp; Ctrl</vt:lpstr>
      <vt:lpstr>Dog popn</vt:lpstr>
      <vt:lpstr>Questions transversales</vt:lpstr>
      <vt:lpstr>SUMMARY (Score)</vt:lpstr>
      <vt:lpstr>SUMMARY (Stage)</vt:lpstr>
      <vt:lpstr>masterlist</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Mathurin Cyrille Tejiokem</cp:lastModifiedBy>
  <cp:lastPrinted>2015-06-09T18:09:29Z</cp:lastPrinted>
  <dcterms:created xsi:type="dcterms:W3CDTF">2015-04-17T07:47:18Z</dcterms:created>
  <dcterms:modified xsi:type="dcterms:W3CDTF">2015-08-26T21:37:44Z</dcterms:modified>
</cp:coreProperties>
</file>