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202"/>
  <workbookPr hidePivotFieldList="1"/>
  <mc:AlternateContent xmlns:mc="http://schemas.openxmlformats.org/markup-compatibility/2006">
    <mc:Choice Requires="x15">
      <x15ac:absPath xmlns:x15ac="http://schemas.microsoft.com/office/spreadsheetml/2010/11/ac" url="/Users/andrecoetzer/Downloads/"/>
    </mc:Choice>
  </mc:AlternateContent>
  <xr:revisionPtr revIDLastSave="0" documentId="8_{3682E0EF-19C6-7343-98B3-3D48E4051A0A}" xr6:coauthVersionLast="45" xr6:coauthVersionMax="45" xr10:uidLastSave="{00000000-0000-0000-0000-000000000000}"/>
  <bookViews>
    <workbookView xWindow="0" yWindow="460" windowWidth="28800" windowHeight="17540" tabRatio="917" activeTab="1"/>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 name="Feuil1" sheetId="21" r:id="rId14"/>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_xlnm.Print_Titles" localSheetId="11">'SUMMARY (Stage)'!$A:$A,'SUMMARY (Stage)'!$4:$5</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5" l="1"/>
  <c r="E2" i="7" s="1"/>
  <c r="E1" i="15"/>
  <c r="E1" i="7" s="1"/>
  <c r="M22" i="15"/>
  <c r="O22" i="15" s="1" a="1"/>
  <c r="O22" i="15" s="1"/>
  <c r="S49" i="15"/>
  <c r="U55" i="15" s="1" a="1"/>
  <c r="U55" i="15" s="1"/>
  <c r="S48" i="15"/>
  <c r="T54" i="15" a="1"/>
  <c r="T54" i="15" s="1"/>
  <c r="S40" i="15"/>
  <c r="U40" i="15" a="1"/>
  <c r="U40" i="15"/>
  <c r="S39" i="15"/>
  <c r="T39" i="15" s="1" a="1"/>
  <c r="T39" i="15" s="1"/>
  <c r="S31" i="15"/>
  <c r="S30" i="15"/>
  <c r="T30" i="15" a="1"/>
  <c r="T30" i="15" s="1"/>
  <c r="S22" i="15"/>
  <c r="U21" i="15" a="1"/>
  <c r="U21" i="15"/>
  <c r="S21" i="15"/>
  <c r="T24" i="15" s="1" a="1"/>
  <c r="T24" i="15" s="1"/>
  <c r="S13" i="15"/>
  <c r="U11" i="15" s="1" a="1"/>
  <c r="U11" i="15" s="1"/>
  <c r="S12" i="15"/>
  <c r="T12" i="15" a="1"/>
  <c r="T12" i="15" s="1"/>
  <c r="S8" i="15"/>
  <c r="U8" i="15" a="1"/>
  <c r="U8" i="15"/>
  <c r="S7" i="15"/>
  <c r="T7" i="15" s="1" a="1"/>
  <c r="T7" i="15" s="1"/>
  <c r="P49" i="15"/>
  <c r="R49" i="15" s="1" a="1"/>
  <c r="R49" i="15" s="1"/>
  <c r="P48" i="15"/>
  <c r="Q48" i="15" a="1"/>
  <c r="Q48" i="15" s="1"/>
  <c r="P40" i="15"/>
  <c r="R40" i="15" a="1"/>
  <c r="R40" i="15"/>
  <c r="P39" i="15"/>
  <c r="Q39" i="15" s="1" a="1"/>
  <c r="Q39" i="15" s="1"/>
  <c r="P31" i="15"/>
  <c r="P30" i="15"/>
  <c r="Q33" i="15" a="1"/>
  <c r="Q33" i="15" s="1"/>
  <c r="P22" i="15"/>
  <c r="P21" i="15"/>
  <c r="Q21" i="15" a="1"/>
  <c r="Q21" i="15" s="1"/>
  <c r="P13" i="15"/>
  <c r="R13" i="15" a="1"/>
  <c r="R13" i="15"/>
  <c r="P12" i="15"/>
  <c r="Q12" i="15" s="1" a="1"/>
  <c r="Q12" i="15" s="1"/>
  <c r="P8" i="15"/>
  <c r="R8" i="15" s="1" a="1"/>
  <c r="R8" i="15" s="1"/>
  <c r="P7" i="15"/>
  <c r="Q7" i="15" a="1"/>
  <c r="Q7" i="15" s="1"/>
  <c r="M49" i="15"/>
  <c r="O47" i="15" a="1"/>
  <c r="O47" i="15"/>
  <c r="M48" i="15"/>
  <c r="N48" i="15" s="1" a="1"/>
  <c r="N48" i="15" s="1"/>
  <c r="M40" i="15"/>
  <c r="O45" i="15" s="1" a="1"/>
  <c r="O45" i="15" s="1"/>
  <c r="M39" i="15"/>
  <c r="N44" i="15" a="1"/>
  <c r="N44" i="15" s="1"/>
  <c r="M31" i="15"/>
  <c r="O32" i="15" a="1"/>
  <c r="O32" i="15" s="1"/>
  <c r="M30" i="15"/>
  <c r="N33" i="15" s="1" a="1"/>
  <c r="N33" i="15" s="1"/>
  <c r="M21" i="15"/>
  <c r="N21" i="15" s="1" a="1"/>
  <c r="N21" i="15" s="1"/>
  <c r="M13" i="15"/>
  <c r="O12" i="15" a="1"/>
  <c r="O12" i="15" s="1"/>
  <c r="M12" i="15"/>
  <c r="N16" i="15" a="1"/>
  <c r="N16" i="15" s="1"/>
  <c r="M8" i="15"/>
  <c r="O8" i="15" s="1" a="1"/>
  <c r="O8" i="15" s="1"/>
  <c r="M7" i="15"/>
  <c r="N8" i="15" s="1" a="1"/>
  <c r="N8" i="15" s="1"/>
  <c r="J49" i="15"/>
  <c r="L48" i="15" a="1"/>
  <c r="L48" i="15" s="1"/>
  <c r="J48" i="15"/>
  <c r="K51" i="15" a="1"/>
  <c r="K51" i="15" s="1"/>
  <c r="J40" i="15"/>
  <c r="L40" i="15" s="1" a="1"/>
  <c r="L40" i="15" s="1"/>
  <c r="J39" i="15"/>
  <c r="J31" i="15"/>
  <c r="L32" i="15" a="1"/>
  <c r="L32" i="15" s="1"/>
  <c r="J30" i="15"/>
  <c r="K31" i="15" a="1"/>
  <c r="K31" i="15" s="1"/>
  <c r="J22" i="15"/>
  <c r="L22" i="15" s="1" a="1"/>
  <c r="L22" i="15" s="1"/>
  <c r="J21" i="15"/>
  <c r="K25" i="15" s="1" a="1"/>
  <c r="K25" i="15" s="1"/>
  <c r="J13" i="15"/>
  <c r="L13" i="15" a="1"/>
  <c r="L13" i="15" s="1"/>
  <c r="J12" i="15"/>
  <c r="K15" i="15" a="1"/>
  <c r="K15" i="15" s="1"/>
  <c r="J8" i="15"/>
  <c r="L10" i="15" s="1" a="1"/>
  <c r="L10" i="15" s="1"/>
  <c r="J7" i="15"/>
  <c r="K9" i="15" s="1" a="1"/>
  <c r="K9" i="15" s="1"/>
  <c r="G49" i="15"/>
  <c r="I48" i="15" a="1"/>
  <c r="I48" i="15" s="1"/>
  <c r="G48" i="15"/>
  <c r="H48" i="15" a="1"/>
  <c r="H48" i="15" s="1"/>
  <c r="G40" i="15"/>
  <c r="I39" i="15" s="1" a="1"/>
  <c r="I39" i="15" s="1"/>
  <c r="G39" i="15"/>
  <c r="H39" i="15" s="1" a="1"/>
  <c r="H39" i="15" s="1"/>
  <c r="G31" i="15"/>
  <c r="I30" i="15" a="1"/>
  <c r="I30" i="15" s="1"/>
  <c r="G30" i="15"/>
  <c r="H29" i="15" a="1"/>
  <c r="H29" i="15" s="1"/>
  <c r="G22" i="15"/>
  <c r="I21" i="15" s="1" a="1"/>
  <c r="I21" i="15" s="1"/>
  <c r="G21" i="15"/>
  <c r="H23" i="15" s="1" a="1"/>
  <c r="H23" i="15" s="1"/>
  <c r="G13" i="15"/>
  <c r="I15" i="15" a="1"/>
  <c r="I15" i="15" s="1"/>
  <c r="G12" i="15"/>
  <c r="H14" i="15" a="1"/>
  <c r="H14" i="15" s="1"/>
  <c r="G8" i="15"/>
  <c r="I10" i="15" s="1" a="1"/>
  <c r="I10" i="15" s="1"/>
  <c r="G7" i="15"/>
  <c r="H8" i="15" s="1" a="1"/>
  <c r="H8" i="15" s="1"/>
  <c r="D49" i="15"/>
  <c r="F48" i="15" a="1"/>
  <c r="F48" i="15" s="1"/>
  <c r="D48" i="15"/>
  <c r="E47" i="15" a="1"/>
  <c r="E47" i="15" s="1"/>
  <c r="D40" i="15"/>
  <c r="F38" i="15" s="1" a="1"/>
  <c r="F38" i="15" s="1"/>
  <c r="D39" i="15"/>
  <c r="D31" i="15"/>
  <c r="D30" i="15"/>
  <c r="D22" i="15"/>
  <c r="F22" i="15" a="1"/>
  <c r="F22" i="15" s="1"/>
  <c r="D21" i="15"/>
  <c r="E21" i="15" a="1"/>
  <c r="E21" i="15" s="1"/>
  <c r="D13" i="15"/>
  <c r="F11" i="15" s="1" a="1"/>
  <c r="F11" i="15" s="1"/>
  <c r="D12" i="15"/>
  <c r="E11" i="15" s="1" a="1"/>
  <c r="E11" i="15" s="1"/>
  <c r="D8" i="15"/>
  <c r="F8" i="15"/>
  <c r="D7" i="15"/>
  <c r="Q53" i="15" a="1"/>
  <c r="Q53" i="15"/>
  <c r="Q38" i="15" a="1"/>
  <c r="Q38" i="15" s="1"/>
  <c r="R39" i="15" a="1"/>
  <c r="R39" i="15" s="1"/>
  <c r="R45" i="15" a="1"/>
  <c r="R45" i="15" s="1"/>
  <c r="R41" i="15" a="1"/>
  <c r="R41" i="15"/>
  <c r="R43" i="15" a="1"/>
  <c r="R43" i="15" s="1"/>
  <c r="O20" i="15" a="1"/>
  <c r="O20" i="15" s="1"/>
  <c r="T6" i="15" a="1"/>
  <c r="T6" i="15"/>
  <c r="T10" i="15" a="1"/>
  <c r="T10" i="15" s="1"/>
  <c r="T8" i="15" a="1"/>
  <c r="T8" i="15" s="1"/>
  <c r="U45" i="15" a="1"/>
  <c r="U45" i="15" s="1"/>
  <c r="U20" i="15" a="1"/>
  <c r="U20" i="15" s="1"/>
  <c r="U31" i="15" a="1"/>
  <c r="U31" i="15" s="1"/>
  <c r="U41" i="15" a="1"/>
  <c r="U41" i="15"/>
  <c r="T34" i="15" a="1"/>
  <c r="T34" i="15" s="1"/>
  <c r="U26" i="15" a="1"/>
  <c r="U26" i="15"/>
  <c r="T9" i="15" a="1"/>
  <c r="T9" i="15" s="1"/>
  <c r="U22" i="15" a="1"/>
  <c r="U22" i="15"/>
  <c r="T25" i="15" a="1"/>
  <c r="T25" i="15" s="1"/>
  <c r="T21" i="15" a="1"/>
  <c r="T21" i="15"/>
  <c r="U18" i="15" a="1"/>
  <c r="U18" i="15" s="1"/>
  <c r="U17" i="15" a="1"/>
  <c r="U17" i="15"/>
  <c r="U16" i="15" a="1"/>
  <c r="U16" i="15" s="1"/>
  <c r="U15" i="15" a="1"/>
  <c r="U15" i="15" s="1"/>
  <c r="U14" i="15" a="1"/>
  <c r="U14" i="15" s="1"/>
  <c r="U13" i="15" a="1"/>
  <c r="U13" i="15"/>
  <c r="U12" i="15" a="1"/>
  <c r="U12" i="15" s="1"/>
  <c r="T35" i="15" a="1"/>
  <c r="T35" i="15" s="1"/>
  <c r="U46" i="15" a="1"/>
  <c r="U46" i="15" s="1"/>
  <c r="T45" i="15" a="1"/>
  <c r="T45" i="15"/>
  <c r="U42" i="15" a="1"/>
  <c r="U42" i="15" s="1"/>
  <c r="T41" i="15" a="1"/>
  <c r="T41" i="15" s="1"/>
  <c r="U52" i="15" a="1"/>
  <c r="U52" i="15" s="1"/>
  <c r="U7" i="15" a="1"/>
  <c r="U7" i="15"/>
  <c r="T11" i="15" a="1"/>
  <c r="T11" i="15" s="1"/>
  <c r="U28" i="15" a="1"/>
  <c r="U28" i="15" s="1"/>
  <c r="T27" i="15" a="1"/>
  <c r="T27" i="15" s="1"/>
  <c r="U24" i="15" a="1"/>
  <c r="U24" i="15"/>
  <c r="T23" i="15" a="1"/>
  <c r="T23" i="15" s="1"/>
  <c r="U37" i="15" a="1"/>
  <c r="U37" i="15" s="1"/>
  <c r="T36" i="15" a="1"/>
  <c r="T36" i="15" s="1"/>
  <c r="U33" i="15" a="1"/>
  <c r="U33" i="15"/>
  <c r="T32" i="15" a="1"/>
  <c r="T32" i="15" s="1"/>
  <c r="U30" i="15" a="1"/>
  <c r="U30" i="15" s="1"/>
  <c r="T38" i="15" a="1"/>
  <c r="T38" i="15" s="1"/>
  <c r="T46" i="15" a="1"/>
  <c r="T46" i="15"/>
  <c r="U43" i="15" a="1"/>
  <c r="U43" i="15" s="1"/>
  <c r="T42" i="15" a="1"/>
  <c r="T42" i="15" s="1"/>
  <c r="U39" i="15" a="1"/>
  <c r="U39" i="15" s="1"/>
  <c r="T47" i="15" a="1"/>
  <c r="T47" i="15"/>
  <c r="T49" i="15" a="1"/>
  <c r="T49" i="15" s="1"/>
  <c r="T51" i="15" a="1"/>
  <c r="T51" i="15" s="1"/>
  <c r="T53" i="15" a="1"/>
  <c r="T53" i="15" s="1"/>
  <c r="T55" i="15" a="1"/>
  <c r="T55" i="15"/>
  <c r="U9" i="15" a="1"/>
  <c r="U9" i="15" s="1"/>
  <c r="T44" i="15" a="1"/>
  <c r="T44" i="15" s="1"/>
  <c r="T40" i="15" a="1"/>
  <c r="T40" i="15" s="1"/>
  <c r="T48" i="15" a="1"/>
  <c r="T48" i="15"/>
  <c r="T50" i="15" a="1"/>
  <c r="T50" i="15" s="1"/>
  <c r="T52" i="15" a="1"/>
  <c r="T52" i="15" s="1"/>
  <c r="U10" i="15" a="1"/>
  <c r="U10" i="15" s="1"/>
  <c r="U19" i="15" a="1"/>
  <c r="U19" i="15"/>
  <c r="U27" i="15" a="1"/>
  <c r="U27" i="15" s="1"/>
  <c r="T26" i="15" a="1"/>
  <c r="T26" i="15" s="1"/>
  <c r="U23" i="15" a="1"/>
  <c r="U23" i="15" s="1"/>
  <c r="T22" i="15" a="1"/>
  <c r="T22" i="15"/>
  <c r="T31" i="15" a="1"/>
  <c r="T31" i="15" s="1"/>
  <c r="U48" i="15" a="1"/>
  <c r="U48" i="15" s="1"/>
  <c r="U50" i="15" a="1"/>
  <c r="U50" i="15" s="1"/>
  <c r="U54" i="15" a="1"/>
  <c r="U54" i="15"/>
  <c r="U6" i="15" a="1"/>
  <c r="U6" i="15" s="1"/>
  <c r="T19" i="15" a="1"/>
  <c r="T19" i="15" s="1"/>
  <c r="T18" i="15" a="1"/>
  <c r="T18" i="15" s="1"/>
  <c r="T17" i="15" a="1"/>
  <c r="T17" i="15"/>
  <c r="T16" i="15" a="1"/>
  <c r="T16" i="15" s="1"/>
  <c r="T15" i="15" a="1"/>
  <c r="T15" i="15" s="1"/>
  <c r="T14" i="15" a="1"/>
  <c r="T14" i="15" s="1"/>
  <c r="T13" i="15" a="1"/>
  <c r="T13" i="15"/>
  <c r="T20" i="15" a="1"/>
  <c r="T20" i="15" s="1"/>
  <c r="T28" i="15" a="1"/>
  <c r="T28" i="15" s="1"/>
  <c r="U25" i="15" a="1"/>
  <c r="U25" i="15" s="1"/>
  <c r="T29" i="15" a="1"/>
  <c r="T29" i="15"/>
  <c r="T37" i="15" a="1"/>
  <c r="T37" i="15" s="1"/>
  <c r="T33" i="15" a="1"/>
  <c r="T33" i="15" s="1"/>
  <c r="U38" i="15" a="1"/>
  <c r="U38" i="15" s="1"/>
  <c r="U44" i="15" a="1"/>
  <c r="U44" i="15"/>
  <c r="T43" i="15" a="1"/>
  <c r="T43" i="15" s="1"/>
  <c r="U47" i="15" a="1"/>
  <c r="U47" i="15" s="1"/>
  <c r="U49" i="15" a="1"/>
  <c r="U49" i="15" s="1"/>
  <c r="U51" i="15" a="1"/>
  <c r="U51" i="15"/>
  <c r="U53" i="15" a="1"/>
  <c r="U53" i="15" s="1"/>
  <c r="R35" i="15" a="1"/>
  <c r="R35" i="15" s="1"/>
  <c r="R30" i="15" a="1"/>
  <c r="R30" i="15" s="1"/>
  <c r="Q46" i="15" a="1"/>
  <c r="Q46" i="15"/>
  <c r="Q42" i="15" a="1"/>
  <c r="Q42" i="15" s="1"/>
  <c r="R50" i="15" a="1"/>
  <c r="R50" i="15" s="1"/>
  <c r="R34" i="15" a="1"/>
  <c r="R34" i="15" s="1"/>
  <c r="Q49" i="15" a="1"/>
  <c r="Q49" i="15"/>
  <c r="R29" i="15" a="1"/>
  <c r="R29" i="15"/>
  <c r="R33" i="15" a="1"/>
  <c r="R33" i="15"/>
  <c r="Q44" i="15" a="1"/>
  <c r="Q44" i="15"/>
  <c r="Q40" i="15" a="1"/>
  <c r="Q40" i="15"/>
  <c r="R54" i="15" a="1"/>
  <c r="R54" i="15"/>
  <c r="O54" i="15" a="1"/>
  <c r="O54" i="15"/>
  <c r="N39" i="15" a="1"/>
  <c r="N39" i="15"/>
  <c r="O50" i="15" a="1"/>
  <c r="O50" i="15"/>
  <c r="O16" i="15" a="1"/>
  <c r="O16" i="15"/>
  <c r="K33" i="15" a="1"/>
  <c r="K33" i="15"/>
  <c r="Q34" i="15" a="1"/>
  <c r="Q34" i="15"/>
  <c r="Q30" i="15" a="1"/>
  <c r="Q30" i="15"/>
  <c r="N42" i="15" a="1"/>
  <c r="N42" i="15"/>
  <c r="O53" i="15" a="1"/>
  <c r="O53" i="15"/>
  <c r="O49" i="15" a="1"/>
  <c r="O49" i="15"/>
  <c r="R28" i="15" a="1"/>
  <c r="R28" i="15"/>
  <c r="R27" i="15" a="1"/>
  <c r="R27" i="15"/>
  <c r="R26" i="15" a="1"/>
  <c r="R26" i="15"/>
  <c r="R25" i="15" a="1"/>
  <c r="R25" i="15"/>
  <c r="R24" i="15" a="1"/>
  <c r="R24" i="15"/>
  <c r="R23" i="15" a="1"/>
  <c r="R23" i="15"/>
  <c r="R22" i="15" a="1"/>
  <c r="R22" i="15"/>
  <c r="R21" i="15" a="1"/>
  <c r="R21" i="15"/>
  <c r="R36" i="15" a="1"/>
  <c r="R36" i="15"/>
  <c r="Q35" i="15" a="1"/>
  <c r="Q35" i="15"/>
  <c r="Q31" i="15" a="1"/>
  <c r="Q31" i="15"/>
  <c r="R38" i="15" a="1"/>
  <c r="R38" i="15"/>
  <c r="Q45" i="15" a="1"/>
  <c r="Q45" i="15"/>
  <c r="Q43" i="15" a="1"/>
  <c r="Q43" i="15"/>
  <c r="Q41" i="15" a="1"/>
  <c r="Q41" i="15"/>
  <c r="Q47" i="15" a="1"/>
  <c r="Q47" i="15"/>
  <c r="R55" i="15" a="1"/>
  <c r="R55" i="15"/>
  <c r="Q54" i="15" a="1"/>
  <c r="Q54" i="15"/>
  <c r="R51" i="15" a="1"/>
  <c r="R51" i="15"/>
  <c r="Q50" i="15" a="1"/>
  <c r="Q50" i="15" s="1"/>
  <c r="H30" i="15" a="1"/>
  <c r="H30" i="15"/>
  <c r="L19" i="15" a="1"/>
  <c r="L19" i="15" s="1"/>
  <c r="H35" i="15" a="1"/>
  <c r="H35" i="15"/>
  <c r="K29" i="15" a="1"/>
  <c r="K29" i="15" s="1"/>
  <c r="K40" i="15" a="1"/>
  <c r="K40" i="15"/>
  <c r="L49" i="15" a="1"/>
  <c r="L49" i="15" s="1"/>
  <c r="N43" i="15" a="1"/>
  <c r="N43" i="15"/>
  <c r="N47" i="15" a="1"/>
  <c r="N47" i="15" s="1"/>
  <c r="O52" i="15" a="1"/>
  <c r="O52" i="15"/>
  <c r="O48" i="15" a="1"/>
  <c r="O48" i="15" s="1"/>
  <c r="Q20" i="15" a="1"/>
  <c r="Q20" i="15"/>
  <c r="Q36" i="15" a="1"/>
  <c r="Q36" i="15" s="1"/>
  <c r="Q32" i="15" a="1"/>
  <c r="Q32" i="15"/>
  <c r="R46" i="15" a="1"/>
  <c r="R46" i="15" s="1"/>
  <c r="R44" i="15" a="1"/>
  <c r="R44" i="15"/>
  <c r="R42" i="15" a="1"/>
  <c r="R42" i="15" s="1"/>
  <c r="Q55" i="15" a="1"/>
  <c r="Q55" i="15"/>
  <c r="R52" i="15" a="1"/>
  <c r="R52" i="15" s="1"/>
  <c r="Q51" i="15" a="1"/>
  <c r="Q51" i="15"/>
  <c r="R48" i="15" a="1"/>
  <c r="R48" i="15" s="1"/>
  <c r="K32" i="15" a="1"/>
  <c r="K32" i="15"/>
  <c r="L53" i="15" a="1"/>
  <c r="L53" i="15" s="1"/>
  <c r="E53" i="15" a="1"/>
  <c r="E53" i="15"/>
  <c r="H28" i="15" a="1"/>
  <c r="H28" i="15" s="1"/>
  <c r="H34" i="15" a="1"/>
  <c r="H34" i="15"/>
  <c r="K37" i="15" a="1"/>
  <c r="K37" i="15" s="1"/>
  <c r="O11" i="15" a="1"/>
  <c r="O11" i="15"/>
  <c r="N38" i="15" a="1"/>
  <c r="N38" i="15" s="1"/>
  <c r="N46" i="15" a="1"/>
  <c r="N46" i="15"/>
  <c r="O55" i="15" a="1"/>
  <c r="O55" i="15" s="1"/>
  <c r="O51" i="15" a="1"/>
  <c r="O51" i="15"/>
  <c r="R20" i="15" a="1"/>
  <c r="R20" i="15" s="1"/>
  <c r="Q28" i="15" a="1"/>
  <c r="Q28" i="15"/>
  <c r="Q27" i="15" a="1"/>
  <c r="Q27" i="15" s="1"/>
  <c r="Q26" i="15" a="1"/>
  <c r="Q26" i="15"/>
  <c r="Q25" i="15" a="1"/>
  <c r="Q25" i="15" s="1"/>
  <c r="Q24" i="15" a="1"/>
  <c r="Q24" i="15"/>
  <c r="Q23" i="15" a="1"/>
  <c r="Q23" i="15" s="1"/>
  <c r="Q22" i="15" a="1"/>
  <c r="Q22" i="15"/>
  <c r="Q29" i="15" a="1"/>
  <c r="Q29" i="15" s="1"/>
  <c r="Q37" i="15" a="1"/>
  <c r="Q37" i="15"/>
  <c r="R47" i="15" a="1"/>
  <c r="R47" i="15" s="1"/>
  <c r="R53" i="15" a="1"/>
  <c r="R53" i="15"/>
  <c r="Q52" i="15" a="1"/>
  <c r="Q52" i="15" s="1"/>
  <c r="R18" i="15" a="1"/>
  <c r="R18" i="15"/>
  <c r="Q8" i="15" a="1"/>
  <c r="Q8" i="15" s="1"/>
  <c r="R14" i="15" a="1"/>
  <c r="R14" i="15"/>
  <c r="R19" i="15" a="1"/>
  <c r="R19" i="15" s="1"/>
  <c r="Q18" i="15" a="1"/>
  <c r="Q18" i="15"/>
  <c r="R15" i="15" a="1"/>
  <c r="R15" i="15" s="1"/>
  <c r="Q14" i="15" a="1"/>
  <c r="Q14" i="15"/>
  <c r="R9" i="15" a="1"/>
  <c r="R9" i="15" s="1"/>
  <c r="Q17" i="15" a="1"/>
  <c r="Q17" i="15"/>
  <c r="Q13" i="15" a="1"/>
  <c r="Q13" i="15" s="1"/>
  <c r="R10" i="15" a="1"/>
  <c r="R10" i="15"/>
  <c r="Q9" i="15" a="1"/>
  <c r="Q9" i="15" s="1"/>
  <c r="Q6" i="15" a="1"/>
  <c r="Q6" i="15"/>
  <c r="Q10" i="15" a="1"/>
  <c r="Q10" i="15" s="1"/>
  <c r="R7" i="15" a="1"/>
  <c r="R7" i="15"/>
  <c r="Q11" i="15" a="1"/>
  <c r="Q11" i="15" s="1"/>
  <c r="Q19" i="15" a="1"/>
  <c r="Q19" i="15"/>
  <c r="R16" i="15" a="1"/>
  <c r="R16" i="15" s="1"/>
  <c r="Q15" i="15" a="1"/>
  <c r="Q15" i="15"/>
  <c r="R12" i="15" a="1"/>
  <c r="R12" i="15" s="1"/>
  <c r="R6" i="15" a="1"/>
  <c r="R6" i="15"/>
  <c r="R11" i="15" a="1"/>
  <c r="R11" i="15" s="1"/>
  <c r="R17" i="15" a="1"/>
  <c r="R17" i="15"/>
  <c r="Q16" i="15" a="1"/>
  <c r="Q16" i="15" s="1"/>
  <c r="K16" i="15" a="1"/>
  <c r="K16" i="15"/>
  <c r="K14" i="15" a="1"/>
  <c r="K14" i="15" s="1"/>
  <c r="N26" i="15" a="1"/>
  <c r="N26" i="15"/>
  <c r="H24" i="15" a="1"/>
  <c r="H24" i="15" s="1"/>
  <c r="L18" i="15" a="1"/>
  <c r="L18" i="15"/>
  <c r="K13" i="15" a="1"/>
  <c r="K13" i="15" s="1"/>
  <c r="L27" i="15" a="1"/>
  <c r="L27" i="15"/>
  <c r="O18" i="15" a="1"/>
  <c r="O18" i="15" s="1"/>
  <c r="O14" i="15" a="1"/>
  <c r="O14" i="15"/>
  <c r="H9" i="15" a="1"/>
  <c r="H9" i="15" s="1"/>
  <c r="H20" i="15" a="1"/>
  <c r="H20" i="15"/>
  <c r="H31" i="15" a="1"/>
  <c r="H31" i="15" s="1"/>
  <c r="H38" i="15" a="1"/>
  <c r="H38" i="15"/>
  <c r="K17" i="15" a="1"/>
  <c r="K17" i="15" s="1"/>
  <c r="L14" i="15" a="1"/>
  <c r="L14" i="15"/>
  <c r="K36" i="15" a="1"/>
  <c r="K36" i="15" s="1"/>
  <c r="K41" i="15" a="1"/>
  <c r="K41" i="15"/>
  <c r="L47" i="15" a="1"/>
  <c r="L47" i="15" s="1"/>
  <c r="O17" i="15" a="1"/>
  <c r="O17" i="15"/>
  <c r="O13" i="15" a="1"/>
  <c r="O13" i="15" s="1"/>
  <c r="N28" i="15" a="1"/>
  <c r="N28" i="15" s="1"/>
  <c r="O35" i="15" a="1"/>
  <c r="O35" i="15" s="1"/>
  <c r="O31" i="15" a="1"/>
  <c r="O31" i="15" s="1"/>
  <c r="N41" i="15" a="1"/>
  <c r="N41" i="15" s="1"/>
  <c r="N45" i="15" a="1"/>
  <c r="N45" i="15" s="1"/>
  <c r="N24" i="15" a="1"/>
  <c r="N24" i="15" s="1"/>
  <c r="O29" i="15" a="1"/>
  <c r="O29" i="15"/>
  <c r="O34" i="15" a="1"/>
  <c r="O34" i="15" s="1"/>
  <c r="O30" i="15" a="1"/>
  <c r="O30" i="15" s="1"/>
  <c r="E49" i="15" a="1"/>
  <c r="E49" i="15" s="1"/>
  <c r="I23" i="15" a="1"/>
  <c r="I23" i="15" s="1"/>
  <c r="L7" i="15" a="1"/>
  <c r="L7" i="15" s="1"/>
  <c r="K18" i="15" a="1"/>
  <c r="K18" i="15" s="1"/>
  <c r="L15" i="15" a="1"/>
  <c r="L15" i="15" s="1"/>
  <c r="K12" i="15" a="1"/>
  <c r="K12" i="15"/>
  <c r="L23" i="15" a="1"/>
  <c r="L23" i="15" s="1"/>
  <c r="K44" i="15" a="1"/>
  <c r="K44" i="15"/>
  <c r="O9" i="15" a="1"/>
  <c r="O9" i="15" s="1"/>
  <c r="N20" i="15" a="1"/>
  <c r="N20" i="15" s="1"/>
  <c r="N22" i="15" a="1"/>
  <c r="N22" i="15" s="1"/>
  <c r="O37" i="15" a="1"/>
  <c r="O37" i="15" s="1"/>
  <c r="O33" i="15" a="1"/>
  <c r="O33" i="15" s="1"/>
  <c r="N40" i="15" a="1"/>
  <c r="N40" i="15" s="1"/>
  <c r="N55" i="15" a="1"/>
  <c r="N55" i="15" s="1"/>
  <c r="N54" i="15" a="1"/>
  <c r="N54" i="15"/>
  <c r="N53" i="15" a="1"/>
  <c r="N53" i="15" s="1"/>
  <c r="N52" i="15" a="1"/>
  <c r="N52" i="15" s="1"/>
  <c r="N51" i="15" a="1"/>
  <c r="N51" i="15" s="1"/>
  <c r="N50" i="15" a="1"/>
  <c r="N50" i="15" s="1"/>
  <c r="N49" i="15" a="1"/>
  <c r="N49" i="15" s="1"/>
  <c r="N34" i="15" a="1"/>
  <c r="N34" i="15" s="1"/>
  <c r="N30" i="15" a="1"/>
  <c r="N30" i="15" s="1"/>
  <c r="O6" i="15" a="1"/>
  <c r="O6" i="15"/>
  <c r="O10" i="15" a="1"/>
  <c r="O10" i="15" s="1"/>
  <c r="O19" i="15" a="1"/>
  <c r="O19" i="15" s="1"/>
  <c r="N18" i="15" a="1"/>
  <c r="N18" i="15" s="1"/>
  <c r="O15" i="15" a="1"/>
  <c r="O15" i="15"/>
  <c r="N14" i="15" a="1"/>
  <c r="N14" i="15" s="1"/>
  <c r="O28" i="15" a="1"/>
  <c r="O28" i="15" s="1"/>
  <c r="N27" i="15" a="1"/>
  <c r="N27" i="15" s="1"/>
  <c r="O24" i="15" a="1"/>
  <c r="O24" i="15"/>
  <c r="N23" i="15" a="1"/>
  <c r="N23" i="15" s="1"/>
  <c r="O36" i="15" a="1"/>
  <c r="O36" i="15" s="1"/>
  <c r="N35" i="15" a="1"/>
  <c r="N35" i="15" s="1"/>
  <c r="N31" i="15" a="1"/>
  <c r="N31" i="15" s="1"/>
  <c r="O38" i="15" a="1"/>
  <c r="O38" i="15" s="1"/>
  <c r="O40" i="15" a="1"/>
  <c r="O40" i="15" s="1"/>
  <c r="O42" i="15" a="1"/>
  <c r="O42" i="15" s="1"/>
  <c r="O44" i="15" a="1"/>
  <c r="O44" i="15"/>
  <c r="O46" i="15" a="1"/>
  <c r="O46" i="15" s="1"/>
  <c r="O27" i="15" a="1"/>
  <c r="O27" i="15" s="1"/>
  <c r="O23" i="15" a="1"/>
  <c r="O23" i="15" s="1"/>
  <c r="O7" i="15" a="1"/>
  <c r="O7" i="15" s="1"/>
  <c r="N19" i="15" a="1"/>
  <c r="N19" i="15" s="1"/>
  <c r="N15" i="15" a="1"/>
  <c r="N15" i="15" s="1"/>
  <c r="N12" i="15" a="1"/>
  <c r="N12" i="15" s="1"/>
  <c r="O25" i="15" a="1"/>
  <c r="O25" i="15"/>
  <c r="O21" i="15" a="1"/>
  <c r="O21" i="15" s="1"/>
  <c r="N36" i="15" a="1"/>
  <c r="N36" i="15" s="1"/>
  <c r="N32" i="15" a="1"/>
  <c r="N32" i="15" s="1"/>
  <c r="N17" i="15" a="1"/>
  <c r="N17" i="15" s="1"/>
  <c r="N13" i="15" a="1"/>
  <c r="N13" i="15" s="1"/>
  <c r="N11" i="15" a="1"/>
  <c r="N11" i="15"/>
  <c r="O26" i="15" a="1"/>
  <c r="O26" i="15" s="1"/>
  <c r="N25" i="15" a="1"/>
  <c r="N25" i="15"/>
  <c r="N29" i="15" a="1"/>
  <c r="N29" i="15" s="1"/>
  <c r="N37" i="15" a="1"/>
  <c r="N37" i="15" s="1"/>
  <c r="O39" i="15" a="1"/>
  <c r="O39" i="15" s="1"/>
  <c r="O41" i="15" a="1"/>
  <c r="O41" i="15" s="1"/>
  <c r="O43" i="15" a="1"/>
  <c r="O43" i="15" s="1"/>
  <c r="N9" i="15" a="1"/>
  <c r="N9" i="15"/>
  <c r="N6" i="15" a="1"/>
  <c r="N6" i="15" s="1"/>
  <c r="N10" i="15" a="1"/>
  <c r="N10" i="15"/>
  <c r="N7" i="15" a="1"/>
  <c r="N7" i="15" s="1"/>
  <c r="K26" i="15" a="1"/>
  <c r="K26" i="15" s="1"/>
  <c r="L33" i="15" a="1"/>
  <c r="L33" i="15" s="1"/>
  <c r="L45" i="15" a="1"/>
  <c r="L45" i="15" s="1"/>
  <c r="L41" i="15" a="1"/>
  <c r="L41" i="15" s="1"/>
  <c r="K52" i="15" a="1"/>
  <c r="K52" i="15" s="1"/>
  <c r="H11" i="15" a="1"/>
  <c r="H11" i="15" s="1"/>
  <c r="H13" i="15" a="1"/>
  <c r="H13" i="15" s="1"/>
  <c r="I29" i="15" a="1"/>
  <c r="I29" i="15" s="1"/>
  <c r="L28" i="15" a="1"/>
  <c r="L28" i="15"/>
  <c r="K27" i="15" a="1"/>
  <c r="K27" i="15" s="1"/>
  <c r="L24" i="15" a="1"/>
  <c r="L24" i="15" s="1"/>
  <c r="K23" i="15" a="1"/>
  <c r="K23" i="15" s="1"/>
  <c r="L21" i="15" a="1"/>
  <c r="L21" i="15" s="1"/>
  <c r="L34" i="15" a="1"/>
  <c r="L34" i="15" s="1"/>
  <c r="L30" i="15" a="1"/>
  <c r="L30" i="15"/>
  <c r="L46" i="15" a="1"/>
  <c r="L46" i="15" s="1"/>
  <c r="L42" i="15" a="1"/>
  <c r="L42" i="15"/>
  <c r="L54" i="15" a="1"/>
  <c r="L54" i="15" s="1"/>
  <c r="K53" i="15" a="1"/>
  <c r="K53" i="15" s="1"/>
  <c r="L50" i="15" a="1"/>
  <c r="L50" i="15" s="1"/>
  <c r="K49" i="15" a="1"/>
  <c r="K49" i="15" s="1"/>
  <c r="K6" i="15" a="1"/>
  <c r="K6" i="15" s="1"/>
  <c r="K10" i="15" a="1"/>
  <c r="K10" i="15"/>
  <c r="K22" i="15" a="1"/>
  <c r="K22" i="15" s="1"/>
  <c r="K48" i="15" a="1"/>
  <c r="K48" i="15" s="1"/>
  <c r="E23" i="15" a="1"/>
  <c r="E23" i="15" s="1"/>
  <c r="F47" i="15" a="1"/>
  <c r="F47" i="15"/>
  <c r="E52" i="15" a="1"/>
  <c r="E52" i="15" s="1"/>
  <c r="E48" i="15" a="1"/>
  <c r="E48" i="15"/>
  <c r="L6" i="15" a="1"/>
  <c r="L6" i="15" s="1"/>
  <c r="L8" i="15" a="1"/>
  <c r="L8" i="15" s="1"/>
  <c r="K7" i="15" a="1"/>
  <c r="K7" i="15" s="1"/>
  <c r="E20" i="15" a="1"/>
  <c r="E20" i="15" s="1"/>
  <c r="E22" i="15" a="1"/>
  <c r="E22" i="15" s="1"/>
  <c r="E55" i="15" a="1"/>
  <c r="E55" i="15"/>
  <c r="E51" i="15" a="1"/>
  <c r="E51" i="15" s="1"/>
  <c r="H19" i="15" a="1"/>
  <c r="H19" i="15" s="1"/>
  <c r="I27" i="15" a="1"/>
  <c r="I27" i="15" s="1"/>
  <c r="H21" i="15" a="1"/>
  <c r="H21" i="15"/>
  <c r="H37" i="15" a="1"/>
  <c r="H37" i="15" s="1"/>
  <c r="H33" i="15" a="1"/>
  <c r="H33" i="15"/>
  <c r="L9" i="15" a="1"/>
  <c r="L9" i="15" s="1"/>
  <c r="K8" i="15" a="1"/>
  <c r="K8" i="15"/>
  <c r="K11" i="15" a="1"/>
  <c r="K11" i="15" s="1"/>
  <c r="K19" i="15" a="1"/>
  <c r="K19" i="15" s="1"/>
  <c r="L16" i="15" a="1"/>
  <c r="L16" i="15" s="1"/>
  <c r="L12" i="15" a="1"/>
  <c r="L12" i="15" s="1"/>
  <c r="K20" i="15" a="1"/>
  <c r="K20" i="15" s="1"/>
  <c r="K28" i="15" a="1"/>
  <c r="K28" i="15"/>
  <c r="L25" i="15" a="1"/>
  <c r="L25" i="15" s="1"/>
  <c r="K24" i="15" a="1"/>
  <c r="K24" i="15" s="1"/>
  <c r="K21" i="15" a="1"/>
  <c r="K21" i="15" s="1"/>
  <c r="L29" i="15" a="1"/>
  <c r="L29" i="15" s="1"/>
  <c r="L35" i="15" a="1"/>
  <c r="L35" i="15" s="1"/>
  <c r="K34" i="15" a="1"/>
  <c r="K34" i="15" s="1"/>
  <c r="L31" i="15" a="1"/>
  <c r="L31" i="15" s="1"/>
  <c r="K30" i="15" a="1"/>
  <c r="K30" i="15"/>
  <c r="K46" i="15" a="1"/>
  <c r="K46" i="15" s="1"/>
  <c r="L43" i="15" a="1"/>
  <c r="L43" i="15"/>
  <c r="K42" i="15" a="1"/>
  <c r="K42" i="15" s="1"/>
  <c r="L39" i="15" a="1"/>
  <c r="L39" i="15" s="1"/>
  <c r="L55" i="15" a="1"/>
  <c r="L55" i="15" s="1"/>
  <c r="K54" i="15" a="1"/>
  <c r="K54" i="15" s="1"/>
  <c r="L51" i="15" a="1"/>
  <c r="L51" i="15" s="1"/>
  <c r="K50" i="15" a="1"/>
  <c r="K50" i="15"/>
  <c r="E25" i="15" a="1"/>
  <c r="E25" i="15" s="1"/>
  <c r="H15" i="15" a="1"/>
  <c r="H15" i="15"/>
  <c r="L37" i="15" a="1"/>
  <c r="L37" i="15" s="1"/>
  <c r="E27" i="15" a="1"/>
  <c r="E27" i="15"/>
  <c r="E54" i="15" a="1"/>
  <c r="E54" i="15" s="1"/>
  <c r="E50" i="15" a="1"/>
  <c r="E50" i="15" s="1"/>
  <c r="H17" i="15" a="1"/>
  <c r="H17" i="15" s="1"/>
  <c r="I25" i="15" a="1"/>
  <c r="I25" i="15"/>
  <c r="H36" i="15" a="1"/>
  <c r="H36" i="15" s="1"/>
  <c r="H32" i="15" a="1"/>
  <c r="H32" i="15"/>
  <c r="H47" i="15" a="1"/>
  <c r="H47" i="15" s="1"/>
  <c r="L11" i="15" a="1"/>
  <c r="L11" i="15"/>
  <c r="L17" i="15" a="1"/>
  <c r="L17" i="15" s="1"/>
  <c r="L20" i="15" a="1"/>
  <c r="L20" i="15" s="1"/>
  <c r="L26" i="15" a="1"/>
  <c r="L26" i="15" s="1"/>
  <c r="L36" i="15" a="1"/>
  <c r="L36" i="15"/>
  <c r="K35" i="15" a="1"/>
  <c r="K35" i="15" s="1"/>
  <c r="L38" i="15" a="1"/>
  <c r="L38" i="15"/>
  <c r="L44" i="15" a="1"/>
  <c r="L44" i="15" s="1"/>
  <c r="K43" i="15" a="1"/>
  <c r="K43" i="15"/>
  <c r="K47" i="15" a="1"/>
  <c r="K47" i="15" s="1"/>
  <c r="K55" i="15" a="1"/>
  <c r="K55" i="15" s="1"/>
  <c r="L52" i="15" a="1"/>
  <c r="L52" i="15" s="1"/>
  <c r="F17" i="15" a="1"/>
  <c r="F17" i="15"/>
  <c r="F13" i="15" a="1"/>
  <c r="F13" i="15" s="1"/>
  <c r="F27" i="15" a="1"/>
  <c r="F27" i="15"/>
  <c r="F23" i="15" a="1"/>
  <c r="F23" i="15" s="1"/>
  <c r="H6" i="15" a="1"/>
  <c r="H6" i="15" s="1"/>
  <c r="H10" i="15" a="1"/>
  <c r="H10" i="15" s="1"/>
  <c r="I7" i="15" a="1"/>
  <c r="I7" i="15" s="1"/>
  <c r="I11" i="15" a="1"/>
  <c r="I11" i="15" s="1"/>
  <c r="I17" i="15" a="1"/>
  <c r="I17" i="15"/>
  <c r="H16" i="15" a="1"/>
  <c r="H16" i="15" s="1"/>
  <c r="I13" i="15" a="1"/>
  <c r="I13" i="15"/>
  <c r="H12" i="15" a="1"/>
  <c r="H12" i="15" s="1"/>
  <c r="I20" i="15" a="1"/>
  <c r="I20" i="15" s="1"/>
  <c r="I26" i="15" a="1"/>
  <c r="I26" i="15" s="1"/>
  <c r="H25" i="15" a="1"/>
  <c r="H25" i="15" s="1"/>
  <c r="I22" i="15" a="1"/>
  <c r="I22" i="15" s="1"/>
  <c r="I38" i="15" a="1"/>
  <c r="I38" i="15"/>
  <c r="H46" i="15" a="1"/>
  <c r="H46" i="15" s="1"/>
  <c r="H45" i="15" a="1"/>
  <c r="H45" i="15"/>
  <c r="H44" i="15" a="1"/>
  <c r="H44" i="15" s="1"/>
  <c r="H43" i="15" a="1"/>
  <c r="H43" i="15" s="1"/>
  <c r="H42" i="15" a="1"/>
  <c r="H42" i="15" s="1"/>
  <c r="H41" i="15" a="1"/>
  <c r="H41" i="15" s="1"/>
  <c r="H40" i="15" a="1"/>
  <c r="H40" i="15" s="1"/>
  <c r="I47" i="15" a="1"/>
  <c r="I47" i="15"/>
  <c r="H55" i="15" a="1"/>
  <c r="H55" i="15" s="1"/>
  <c r="H54" i="15" a="1"/>
  <c r="H54" i="15"/>
  <c r="H53" i="15" a="1"/>
  <c r="H53" i="15" s="1"/>
  <c r="H52" i="15" a="1"/>
  <c r="H52" i="15" s="1"/>
  <c r="H51" i="15" a="1"/>
  <c r="H51" i="15" s="1"/>
  <c r="H50" i="15" a="1"/>
  <c r="H50" i="15" s="1"/>
  <c r="H49" i="15" a="1"/>
  <c r="H49" i="15" s="1"/>
  <c r="F18" i="15" a="1"/>
  <c r="F18" i="15"/>
  <c r="F14" i="15" a="1"/>
  <c r="F14" i="15" s="1"/>
  <c r="I16" i="15" a="1"/>
  <c r="I16" i="15"/>
  <c r="F16" i="15" a="1"/>
  <c r="F16" i="15" s="1"/>
  <c r="F12" i="15" a="1"/>
  <c r="F12" i="15" s="1"/>
  <c r="I6" i="15" a="1"/>
  <c r="I6" i="15" s="1"/>
  <c r="I8" i="15" a="1"/>
  <c r="I8" i="15" s="1"/>
  <c r="I18" i="15" a="1"/>
  <c r="I18" i="15" s="1"/>
  <c r="I14" i="15" a="1"/>
  <c r="I14" i="15" s="1"/>
  <c r="H26" i="15" a="1"/>
  <c r="H26" i="15" s="1"/>
  <c r="H22" i="15" a="1"/>
  <c r="H22" i="15"/>
  <c r="I37" i="15" a="1"/>
  <c r="I37" i="15" s="1"/>
  <c r="I36" i="15" a="1"/>
  <c r="I36" i="15"/>
  <c r="I35" i="15" a="1"/>
  <c r="I35" i="15" s="1"/>
  <c r="I34" i="15" a="1"/>
  <c r="I34" i="15" s="1"/>
  <c r="I33" i="15" a="1"/>
  <c r="I33" i="15" s="1"/>
  <c r="I32" i="15" a="1"/>
  <c r="I32" i="15" s="1"/>
  <c r="I31" i="15" a="1"/>
  <c r="I31" i="15" s="1"/>
  <c r="I12" i="15" a="1"/>
  <c r="I12" i="15"/>
  <c r="F19" i="15" a="1"/>
  <c r="F19" i="15" s="1"/>
  <c r="F15" i="15" a="1"/>
  <c r="F15" i="15"/>
  <c r="F20" i="15" a="1"/>
  <c r="F20" i="15" s="1"/>
  <c r="E26" i="15" a="1"/>
  <c r="E26" i="15" s="1"/>
  <c r="I9" i="15" a="1"/>
  <c r="I9" i="15" s="1"/>
  <c r="I19" i="15" a="1"/>
  <c r="I19" i="15" s="1"/>
  <c r="H18" i="15" a="1"/>
  <c r="H18" i="15" s="1"/>
  <c r="I28" i="15" a="1"/>
  <c r="I28" i="15"/>
  <c r="H27" i="15" a="1"/>
  <c r="H27" i="15" s="1"/>
  <c r="I24" i="15" a="1"/>
  <c r="I24" i="15"/>
  <c r="I46" i="15" a="1"/>
  <c r="I46" i="15" s="1"/>
  <c r="I45" i="15" a="1"/>
  <c r="I45" i="15" s="1"/>
  <c r="I44" i="15" a="1"/>
  <c r="I44" i="15"/>
  <c r="I43" i="15" a="1"/>
  <c r="I43" i="15" s="1"/>
  <c r="I42" i="15" a="1"/>
  <c r="I42" i="15"/>
  <c r="I41" i="15" a="1"/>
  <c r="I41" i="15" s="1"/>
  <c r="I40" i="15" a="1"/>
  <c r="I40" i="15"/>
  <c r="I55" i="15" a="1"/>
  <c r="I55" i="15" s="1"/>
  <c r="I54" i="15" a="1"/>
  <c r="I54" i="15"/>
  <c r="I53" i="15" a="1"/>
  <c r="I53" i="15" s="1"/>
  <c r="I52" i="15" a="1"/>
  <c r="I52" i="15"/>
  <c r="I51" i="15" a="1"/>
  <c r="I51" i="15" s="1"/>
  <c r="I50" i="15" a="1"/>
  <c r="I50" i="15"/>
  <c r="I49" i="15" a="1"/>
  <c r="I49" i="15" s="1"/>
  <c r="F29" i="15" a="1"/>
  <c r="F29" i="15"/>
  <c r="F30" i="15" a="1"/>
  <c r="F30" i="15" s="1"/>
  <c r="F31" i="15" a="1"/>
  <c r="F31" i="15"/>
  <c r="F32" i="15" a="1"/>
  <c r="F32" i="15" s="1"/>
  <c r="F33" i="15" a="1"/>
  <c r="F33" i="15"/>
  <c r="F34" i="15" a="1"/>
  <c r="F34" i="15" s="1"/>
  <c r="F35" i="15" a="1"/>
  <c r="F35" i="15"/>
  <c r="F36" i="15" a="1"/>
  <c r="F36" i="15" s="1"/>
  <c r="F37" i="15" a="1"/>
  <c r="F37" i="15"/>
  <c r="E30" i="15" a="1"/>
  <c r="E30" i="15" s="1"/>
  <c r="E31" i="15" a="1"/>
  <c r="E31" i="15"/>
  <c r="E32" i="15" a="1"/>
  <c r="E32" i="15" s="1"/>
  <c r="E33" i="15" a="1"/>
  <c r="E33" i="15"/>
  <c r="E34" i="15" a="1"/>
  <c r="E34" i="15" s="1"/>
  <c r="E35" i="15" a="1"/>
  <c r="E35" i="15"/>
  <c r="E36" i="15" a="1"/>
  <c r="E36" i="15" s="1"/>
  <c r="E37" i="15" a="1"/>
  <c r="E37" i="15"/>
  <c r="E29" i="15" a="1"/>
  <c r="E29" i="15" s="1"/>
  <c r="E12" i="15" a="1"/>
  <c r="E12" i="15" s="1"/>
  <c r="E13" i="15" a="1"/>
  <c r="E13" i="15" s="1"/>
  <c r="E14" i="15" a="1"/>
  <c r="E14" i="15" s="1"/>
  <c r="E15" i="15" a="1"/>
  <c r="E15" i="15" s="1"/>
  <c r="E16" i="15" a="1"/>
  <c r="E16" i="15" s="1"/>
  <c r="E17" i="15" a="1"/>
  <c r="E17" i="15" s="1"/>
  <c r="E18" i="15" a="1"/>
  <c r="E18" i="15" s="1"/>
  <c r="E19" i="15" a="1"/>
  <c r="E19" i="15" s="1"/>
  <c r="E39" i="15" a="1"/>
  <c r="E39" i="15" s="1"/>
  <c r="E41" i="15" a="1"/>
  <c r="E41" i="15" s="1"/>
  <c r="E43" i="15" a="1"/>
  <c r="E43" i="15" s="1"/>
  <c r="E45" i="15" a="1"/>
  <c r="E45" i="15" s="1"/>
  <c r="E38" i="15" a="1"/>
  <c r="E38" i="15" s="1"/>
  <c r="E40" i="15" a="1"/>
  <c r="E40" i="15" s="1"/>
  <c r="E42" i="15" a="1"/>
  <c r="E42" i="15" s="1"/>
  <c r="E44" i="15" a="1"/>
  <c r="E44" i="15" s="1"/>
  <c r="E46" i="15" a="1"/>
  <c r="E46" i="15" s="1"/>
  <c r="F25" i="15" a="1"/>
  <c r="F25" i="15" s="1"/>
  <c r="F21" i="15" a="1"/>
  <c r="F21" i="15" s="1"/>
  <c r="F24" i="15" a="1"/>
  <c r="F24" i="15" s="1"/>
  <c r="F28" i="15" a="1"/>
  <c r="F28" i="15" s="1"/>
  <c r="F26" i="15" a="1"/>
  <c r="F26" i="15" s="1"/>
  <c r="F46" i="15" a="1"/>
  <c r="F46" i="15" s="1"/>
  <c r="F44" i="15" a="1"/>
  <c r="F44" i="15" s="1"/>
  <c r="F42" i="15" a="1"/>
  <c r="F42" i="15" s="1"/>
  <c r="F40" i="15" a="1"/>
  <c r="F40" i="15" s="1"/>
  <c r="F45" i="15" a="1"/>
  <c r="F45" i="15" s="1"/>
  <c r="F43" i="15" a="1"/>
  <c r="F43" i="15" s="1"/>
  <c r="F41" i="15" a="1"/>
  <c r="F41" i="15" s="1"/>
  <c r="F39" i="15" a="1"/>
  <c r="F39" i="15" s="1"/>
  <c r="E28" i="15" a="1"/>
  <c r="E28" i="15" s="1"/>
  <c r="E24" i="15" a="1"/>
  <c r="E24" i="15" s="1"/>
  <c r="F55" i="15" a="1"/>
  <c r="F55" i="15" s="1"/>
  <c r="F54" i="15" a="1"/>
  <c r="F54" i="15" s="1"/>
  <c r="F53" i="15" a="1"/>
  <c r="F53" i="15" s="1"/>
  <c r="F52" i="15" a="1"/>
  <c r="F52" i="15" s="1"/>
  <c r="F51" i="15" a="1"/>
  <c r="F51" i="15" s="1"/>
  <c r="F50" i="15" a="1"/>
  <c r="F50" i="15" s="1"/>
  <c r="F49" i="15" a="1"/>
  <c r="F49" i="15" s="1"/>
  <c r="F10" i="15"/>
  <c r="E10" i="15"/>
  <c r="E6" i="15"/>
  <c r="F7" i="15"/>
  <c r="E8" i="15"/>
  <c r="F9" i="15"/>
  <c r="F6" i="15"/>
  <c r="E9" i="15"/>
  <c r="E7" i="15"/>
  <c r="A49" i="15"/>
  <c r="A48" i="15"/>
  <c r="B48" i="15" s="1" a="1"/>
  <c r="B48" i="15" s="1"/>
  <c r="A40" i="15"/>
  <c r="A39" i="15"/>
  <c r="B45" i="15" s="1" a="1"/>
  <c r="B45" i="15" s="1"/>
  <c r="A31" i="15"/>
  <c r="A30" i="15"/>
  <c r="B30" i="15" s="1" a="1"/>
  <c r="B30" i="15" s="1"/>
  <c r="A22" i="15"/>
  <c r="C21" i="15" s="1" a="1"/>
  <c r="C21" i="15" s="1"/>
  <c r="A21" i="15"/>
  <c r="B20" i="15" a="1"/>
  <c r="A13" i="15"/>
  <c r="A12" i="15"/>
  <c r="B13" i="15" s="1" a="1"/>
  <c r="B13" i="15" s="1"/>
  <c r="A8" i="15"/>
  <c r="C7" i="15" s="1" a="1"/>
  <c r="C7" i="15" s="1"/>
  <c r="A7" i="15"/>
  <c r="B6" i="15" s="1" a="1"/>
  <c r="B6" i="15" s="1"/>
  <c r="B20" i="15"/>
  <c r="C10" i="15" a="1"/>
  <c r="C10" i="15"/>
  <c r="C6" i="15" a="1"/>
  <c r="C6" i="15"/>
  <c r="C45" i="15" a="1"/>
  <c r="C45" i="15"/>
  <c r="C43" i="15" a="1"/>
  <c r="C43" i="15"/>
  <c r="C41" i="15" a="1"/>
  <c r="C41" i="15"/>
  <c r="C39" i="15" a="1"/>
  <c r="C39" i="15"/>
  <c r="C42" i="15" a="1"/>
  <c r="C42" i="15"/>
  <c r="C38" i="15" a="1"/>
  <c r="C38" i="15"/>
  <c r="C46" i="15" a="1"/>
  <c r="C46" i="15"/>
  <c r="C44" i="15" a="1"/>
  <c r="C44" i="15"/>
  <c r="C40" i="15" a="1"/>
  <c r="C40" i="15"/>
  <c r="C14" i="15" a="1"/>
  <c r="C14" i="15"/>
  <c r="C18" i="15" a="1"/>
  <c r="C18" i="15"/>
  <c r="C12" i="15" a="1"/>
  <c r="C12" i="15"/>
  <c r="C16" i="15" a="1"/>
  <c r="C16" i="15"/>
  <c r="C11" i="15" a="1"/>
  <c r="C11" i="15"/>
  <c r="C13" i="15" a="1"/>
  <c r="C13" i="15"/>
  <c r="C17" i="15" a="1"/>
  <c r="C17" i="15"/>
  <c r="C19" i="15" a="1"/>
  <c r="C19" i="15"/>
  <c r="C15" i="15" a="1"/>
  <c r="C15" i="15"/>
  <c r="C31" i="15" a="1"/>
  <c r="C31" i="15"/>
  <c r="C35" i="15" a="1"/>
  <c r="C35" i="15"/>
  <c r="C29" i="15" a="1"/>
  <c r="C29" i="15"/>
  <c r="C30" i="15" a="1"/>
  <c r="C30" i="15"/>
  <c r="C34" i="15" a="1"/>
  <c r="C34" i="15"/>
  <c r="C33" i="15" a="1"/>
  <c r="C33" i="15"/>
  <c r="C37" i="15" a="1"/>
  <c r="C37" i="15"/>
  <c r="C36" i="15" a="1"/>
  <c r="C36" i="15"/>
  <c r="C32" i="15" a="1"/>
  <c r="C32" i="15"/>
  <c r="C49" i="15" a="1"/>
  <c r="C49" i="15"/>
  <c r="C53" i="15" a="1"/>
  <c r="C53" i="15"/>
  <c r="C47" i="15" a="1"/>
  <c r="C47" i="15"/>
  <c r="C51" i="15" a="1"/>
  <c r="C51" i="15"/>
  <c r="C55" i="15" a="1"/>
  <c r="C55" i="15"/>
  <c r="C48" i="15" a="1"/>
  <c r="C48" i="15"/>
  <c r="C52" i="15" a="1"/>
  <c r="C52" i="15"/>
  <c r="C54" i="15" a="1"/>
  <c r="C54" i="15"/>
  <c r="C50" i="15" a="1"/>
  <c r="C50" i="15"/>
  <c r="C27" i="7"/>
  <c r="B27" i="7"/>
  <c r="C24" i="7"/>
  <c r="B24" i="7"/>
  <c r="C21" i="7"/>
  <c r="B21" i="7"/>
  <c r="C18" i="7"/>
  <c r="B18" i="7"/>
  <c r="C15" i="7"/>
  <c r="B15" i="7"/>
  <c r="C12" i="7"/>
  <c r="B12" i="7"/>
  <c r="C9" i="7"/>
  <c r="B9" i="7"/>
  <c r="B46" i="15" a="1"/>
  <c r="B46" i="15" s="1"/>
  <c r="B40" i="15" a="1"/>
  <c r="B40" i="15" s="1"/>
  <c r="B42" i="15" a="1"/>
  <c r="B42" i="15" s="1"/>
  <c r="B38" i="15" a="1"/>
  <c r="B38" i="15" s="1"/>
  <c r="B44" i="15" a="1"/>
  <c r="B44" i="15" s="1"/>
  <c r="B39" i="15" a="1"/>
  <c r="B39" i="15" s="1"/>
  <c r="B41" i="15" a="1"/>
  <c r="B41" i="15" s="1"/>
  <c r="B43" i="15" a="1"/>
  <c r="B43" i="15" s="1"/>
  <c r="B21" i="15" a="1"/>
  <c r="B21" i="15" s="1"/>
  <c r="F15" i="7" s="1"/>
  <c r="B27" i="15" a="1"/>
  <c r="B27" i="15"/>
  <c r="B23" i="15" a="1"/>
  <c r="B23" i="15"/>
  <c r="B25" i="15" a="1"/>
  <c r="B25" i="15"/>
  <c r="B28" i="15" a="1"/>
  <c r="B28" i="15"/>
  <c r="B26" i="15" a="1"/>
  <c r="B26" i="15"/>
  <c r="B24" i="15" a="1"/>
  <c r="B24" i="15"/>
  <c r="B22" i="15" a="1"/>
  <c r="B22" i="15"/>
  <c r="B7" i="15" a="1"/>
  <c r="B7" i="15"/>
  <c r="B8" i="15" a="1"/>
  <c r="B8" i="15" s="1"/>
  <c r="B9" i="15" a="1"/>
  <c r="B9" i="15" s="1"/>
  <c r="B10" i="15" a="1"/>
  <c r="B10" i="15" s="1"/>
  <c r="B49" i="15" a="1"/>
  <c r="B49" i="15" s="1"/>
  <c r="B53" i="15" a="1"/>
  <c r="B53" i="15" s="1"/>
  <c r="B54" i="15" a="1"/>
  <c r="B54" i="15" s="1"/>
  <c r="B50" i="15" a="1"/>
  <c r="B50" i="15" s="1"/>
  <c r="B47" i="15" a="1"/>
  <c r="B47" i="15" s="1"/>
  <c r="F24" i="7" s="1"/>
  <c r="B55" i="15" a="1"/>
  <c r="B55" i="15" s="1"/>
  <c r="B51" i="15" a="1"/>
  <c r="B51" i="15" s="1"/>
  <c r="B52" i="15" a="1"/>
  <c r="B52" i="15" s="1"/>
  <c r="B35" i="15" a="1"/>
  <c r="B35" i="15" s="1"/>
  <c r="B31" i="15" a="1"/>
  <c r="B31" i="15" s="1"/>
  <c r="B29" i="15" a="1"/>
  <c r="B29" i="15" s="1"/>
  <c r="B37" i="15" a="1"/>
  <c r="B37" i="15" s="1"/>
  <c r="B33" i="15" a="1"/>
  <c r="B33" i="15" s="1"/>
  <c r="B36" i="15" a="1"/>
  <c r="B36" i="15" s="1"/>
  <c r="B32" i="15" a="1"/>
  <c r="B32" i="15" s="1"/>
  <c r="B34" i="15" a="1"/>
  <c r="B34" i="15" s="1"/>
  <c r="B18" i="15" a="1"/>
  <c r="B18" i="15" s="1"/>
  <c r="B14" i="15" a="1"/>
  <c r="B14" i="15" s="1"/>
  <c r="B19" i="15" a="1"/>
  <c r="B19" i="15" s="1"/>
  <c r="B15" i="15" a="1"/>
  <c r="B15" i="15" s="1"/>
  <c r="B11" i="15" a="1"/>
  <c r="B11" i="15" s="1"/>
  <c r="F12" i="7" s="1"/>
  <c r="B16" i="15" a="1"/>
  <c r="B16" i="15"/>
  <c r="B12" i="15" a="1"/>
  <c r="B12" i="15"/>
  <c r="B17" i="15" a="1"/>
  <c r="B17" i="15"/>
  <c r="G12" i="7" l="1"/>
  <c r="F18" i="7"/>
  <c r="G21" i="7"/>
  <c r="G24" i="7"/>
  <c r="C28" i="15" a="1"/>
  <c r="C28" i="15" s="1"/>
  <c r="C26" i="15" a="1"/>
  <c r="C26" i="15" s="1"/>
  <c r="C27" i="15" a="1"/>
  <c r="C27" i="15" s="1"/>
  <c r="C23" i="15" a="1"/>
  <c r="C23" i="15" s="1"/>
  <c r="C8" i="15" a="1"/>
  <c r="C8" i="15" s="1"/>
  <c r="G9" i="7" s="1"/>
  <c r="C9" i="15" a="1"/>
  <c r="C9" i="15" s="1"/>
  <c r="C20" i="15" a="1"/>
  <c r="C20" i="15" s="1"/>
  <c r="G15" i="7" s="1"/>
  <c r="C22" i="15" a="1"/>
  <c r="C22" i="15" s="1"/>
  <c r="C24" i="15" a="1"/>
  <c r="C24" i="15" s="1"/>
  <c r="C25" i="15" a="1"/>
  <c r="C25" i="15" s="1"/>
  <c r="R32" i="15" a="1"/>
  <c r="R32" i="15" s="1"/>
  <c r="G18" i="7" s="1"/>
  <c r="R37" i="15" a="1"/>
  <c r="R37" i="15" s="1"/>
  <c r="R31" i="15" a="1"/>
  <c r="R31" i="15" s="1"/>
  <c r="H7" i="15" a="1"/>
  <c r="H7" i="15" s="1"/>
  <c r="F9" i="7" s="1"/>
  <c r="U34" i="15" a="1"/>
  <c r="U34" i="15" s="1"/>
  <c r="U29" i="15" a="1"/>
  <c r="U29" i="15" s="1"/>
  <c r="U36" i="15" a="1"/>
  <c r="U36" i="15" s="1"/>
  <c r="U32" i="15" a="1"/>
  <c r="U32" i="15" s="1"/>
  <c r="U35" i="15" a="1"/>
  <c r="U35" i="15" s="1"/>
  <c r="K39" i="15" a="1"/>
  <c r="K39" i="15" s="1"/>
  <c r="K45" i="15" a="1"/>
  <c r="K45" i="15" s="1"/>
  <c r="K38" i="15" a="1"/>
  <c r="K38" i="15" s="1"/>
  <c r="F21" i="7" s="1"/>
</calcChain>
</file>

<file path=xl/sharedStrings.xml><?xml version="1.0" encoding="utf-8"?>
<sst xmlns="http://schemas.openxmlformats.org/spreadsheetml/2006/main" count="724" uniqueCount="550">
  <si>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</si>
  <si>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</si>
  <si>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</si>
  <si>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</si>
  <si>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</si>
  <si>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</si>
  <si>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</si>
  <si>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</si>
  <si>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</si>
  <si>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</si>
  <si>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</si>
  <si>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</si>
  <si>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</si>
  <si>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</si>
  <si>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</si>
  <si>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</si>
  <si>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</si>
  <si>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</si>
  <si>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</si>
  <si>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</si>
  <si>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</si>
  <si>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</si>
  <si>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</si>
  <si>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</si>
  <si>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</si>
  <si>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</si>
  <si>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</si>
  <si>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</si>
  <si>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</si>
  <si>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</si>
  <si>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</si>
  <si>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</si>
  <si>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</si>
  <si>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</si>
  <si>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</si>
  <si>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</si>
  <si>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</si>
  <si>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</si>
  <si>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</si>
  <si>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</si>
  <si>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</si>
  <si>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</si>
  <si>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</si>
  <si>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</si>
  <si>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</si>
  <si>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</si>
  <si>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</si>
  <si>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</si>
  <si>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</si>
  <si>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</si>
  <si>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</si>
  <si>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</si>
  <si>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</si>
  <si>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</si>
  <si>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</si>
  <si>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</si>
  <si>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</si>
  <si>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</si>
  <si>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</si>
  <si>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</si>
  <si>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</si>
  <si>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</si>
  <si>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</si>
  <si>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</si>
  <si>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</si>
  <si>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</si>
  <si>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</si>
  <si>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</si>
  <si>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</si>
  <si>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</si>
  <si>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</si>
  <si>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</si>
  <si>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</si>
  <si>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</si>
  <si>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</si>
  <si>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</si>
  <si>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</si>
  <si>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</si>
  <si>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</si>
  <si>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</si>
  <si>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</si>
  <si>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</si>
  <si>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</si>
  <si>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</si>
  <si>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</si>
  <si>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</si>
  <si>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</si>
  <si>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</si>
  <si>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</si>
  <si>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</si>
  <si>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</si>
  <si>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</si>
  <si>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</si>
  <si>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</si>
  <si>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</si>
  <si>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</si>
  <si>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</si>
  <si>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</si>
  <si>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</si>
  <si>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</si>
  <si>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</si>
  <si>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</si>
  <si>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</si>
  <si>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</si>
  <si>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</si>
  <si>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</si>
  <si>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</si>
  <si>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</si>
  <si>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</si>
  <si>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</si>
  <si>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</si>
  <si>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</si>
  <si>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</si>
  <si>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</si>
  <si>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</si>
  <si>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</si>
  <si>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</si>
  <si>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</si>
  <si>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</si>
  <si>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</si>
  <si>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</si>
  <si>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</si>
  <si>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</si>
  <si>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</si>
  <si>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</si>
  <si>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</si>
  <si>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</si>
  <si>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</si>
  <si>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</si>
  <si>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</si>
  <si>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</si>
  <si>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</si>
  <si>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</si>
  <si>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</si>
  <si>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</si>
  <si>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</si>
  <si>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</si>
  <si>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</si>
  <si>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</si>
  <si>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</si>
  <si>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</si>
  <si>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</si>
  <si>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</si>
  <si>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</si>
  <si>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</si>
  <si>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</si>
  <si>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</si>
  <si>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</si>
  <si>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</si>
  <si>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</si>
  <si>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</si>
  <si>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</si>
  <si>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</si>
  <si>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</si>
  <si>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</si>
  <si>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</si>
  <si>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</si>
  <si>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</si>
  <si>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</si>
  <si>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</si>
  <si>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</si>
  <si>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</si>
  <si>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</si>
  <si>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</si>
  <si>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</si>
  <si>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</si>
  <si>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</si>
  <si>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</si>
  <si>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</si>
  <si>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</si>
  <si>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</si>
  <si>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</si>
  <si>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</si>
  <si>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</si>
  <si>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</si>
  <si>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</si>
  <si>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</si>
  <si>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</si>
  <si>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</si>
  <si>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</si>
  <si>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</si>
  <si>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</si>
  <si>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</si>
  <si>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</si>
  <si>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</si>
  <si>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</si>
  <si>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</si>
  <si>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</si>
  <si>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</si>
  <si>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</si>
  <si>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</si>
  <si>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</si>
  <si>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</si>
  <si>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</si>
  <si>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</si>
  <si>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</si>
  <si>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</si>
  <si>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</si>
  <si>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</si>
  <si>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</si>
  <si>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</si>
  <si>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</si>
  <si>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</si>
  <si>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</si>
  <si>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</si>
  <si>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</si>
  <si>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</si>
  <si>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</si>
  <si>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</si>
  <si>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</si>
  <si>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</si>
  <si>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</si>
  <si>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</si>
  <si>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</si>
  <si>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</si>
  <si>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</si>
  <si>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</si>
  <si>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</si>
  <si>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</si>
  <si>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</si>
  <si>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</si>
  <si>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</si>
  <si>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</si>
  <si>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</si>
  <si>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</si>
  <si>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</si>
  <si>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</si>
  <si>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</si>
  <si>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</si>
  <si>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</si>
  <si>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</si>
  <si>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</si>
  <si>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</si>
  <si>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</si>
  <si>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</si>
  <si>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</si>
  <si>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</si>
  <si>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</si>
  <si>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</si>
  <si>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</si>
  <si>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</si>
  <si>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</si>
  <si>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</si>
  <si>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</si>
  <si>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</si>
  <si>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</si>
  <si>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</si>
  <si>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</si>
  <si>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</si>
  <si>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</si>
  <si>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</si>
  <si>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</si>
  <si>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</si>
  <si>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</si>
  <si>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</si>
  <si>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</si>
  <si>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</si>
  <si>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</si>
  <si>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</si>
  <si>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</si>
  <si>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</si>
  <si>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</si>
  <si>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</si>
  <si>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</si>
  <si>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</si>
  <si>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</si>
  <si>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</si>
  <si>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</si>
  <si>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</si>
  <si>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</si>
  <si>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</si>
  <si>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</si>
  <si>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</si>
  <si>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</si>
  <si>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</si>
  <si>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</si>
  <si>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</si>
  <si>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</si>
  <si>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</si>
  <si>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</si>
  <si>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</si>
  <si>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</si>
  <si>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</si>
  <si>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</si>
  <si>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</si>
  <si>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</si>
  <si>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</si>
  <si>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</si>
  <si>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</si>
  <si>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</si>
  <si>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</si>
  <si>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</si>
  <si>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</si>
  <si>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</si>
  <si>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</si>
  <si>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</si>
  <si>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</si>
  <si>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</si>
  <si>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</si>
  <si>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</si>
  <si>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</si>
  <si>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</si>
  <si>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</si>
  <si>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</si>
  <si>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</si>
  <si>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</si>
  <si>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</si>
  <si>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</si>
  <si>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</si>
  <si>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</si>
  <si>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</si>
  <si>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</si>
  <si>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</si>
  <si>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</si>
  <si>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</si>
  <si>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</si>
  <si>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</si>
  <si>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</si>
  <si>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</si>
  <si>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</si>
  <si>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</si>
  <si>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</si>
  <si>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</si>
  <si>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</si>
  <si>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</si>
  <si>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</si>
  <si>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</si>
  <si>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</si>
  <si>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</si>
  <si>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</si>
  <si>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</si>
  <si>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</si>
  <si>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</si>
  <si>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</si>
  <si>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</si>
  <si>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</si>
  <si>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</si>
  <si>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</si>
  <si>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</si>
  <si>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</si>
  <si>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</si>
  <si>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</si>
  <si>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</si>
  <si>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</si>
  <si>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</si>
  <si>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</si>
  <si>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</si>
  <si>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</si>
  <si>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</si>
  <si>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</si>
  <si>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</si>
  <si>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</si>
  <si>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</si>
  <si>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</si>
  <si>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</si>
  <si>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</si>
  <si>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</si>
  <si>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</si>
  <si>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</si>
  <si>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</si>
  <si>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</si>
  <si>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</si>
  <si>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</si>
  <si>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</si>
  <si>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</si>
  <si>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</si>
  <si>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</si>
  <si>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</si>
  <si>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</si>
  <si>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</si>
  <si>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</si>
  <si>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</si>
  <si>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</si>
  <si>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</si>
  <si>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</si>
  <si>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</si>
  <si>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</si>
  <si>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</si>
  <si>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</si>
  <si>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</si>
  <si>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</si>
  <si>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</si>
  <si>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</si>
  <si>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</si>
  <si>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</si>
  <si>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</si>
  <si>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</si>
  <si>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</si>
  <si>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</si>
  <si>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</si>
  <si>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</si>
  <si>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</si>
  <si>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</si>
  <si>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</si>
  <si>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</si>
  <si>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</si>
  <si>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</si>
  <si>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</si>
  <si>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</si>
  <si>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</si>
  <si>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</si>
  <si>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</si>
  <si>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</si>
  <si>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</si>
  <si>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</si>
  <si>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</si>
  <si>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</si>
  <si>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</si>
  <si>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</si>
  <si>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</si>
  <si>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</si>
  <si>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</si>
  <si>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</si>
  <si>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</si>
  <si>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</si>
  <si>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</si>
  <si>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</si>
  <si>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</si>
  <si>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</si>
  <si>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</si>
  <si>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</si>
  <si>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</si>
  <si>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</si>
  <si>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</si>
  <si>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</si>
  <si>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</si>
  <si>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</si>
  <si>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</si>
  <si>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</si>
  <si>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</si>
  <si>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</si>
  <si>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</si>
  <si>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</si>
  <si>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</si>
  <si>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</si>
  <si>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</si>
  <si>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</si>
  <si>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</si>
  <si>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</si>
  <si>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</si>
  <si>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</si>
  <si>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</si>
  <si>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</si>
  <si>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</si>
  <si>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</si>
  <si>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</si>
  <si>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</si>
  <si>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</si>
  <si>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</si>
  <si>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</si>
  <si>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</si>
  <si>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</si>
  <si>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</si>
  <si>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</si>
  <si>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</si>
  <si>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</si>
  <si>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</si>
  <si>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</si>
  <si>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</si>
  <si>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</si>
  <si>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</si>
  <si>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</si>
  <si>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</si>
  <si>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</si>
  <si>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</si>
  <si>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</si>
  <si>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</si>
  <si>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</si>
  <si>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</si>
  <si>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</si>
  <si>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</si>
  <si>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</si>
  <si>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</si>
  <si>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</si>
  <si>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</si>
  <si>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</si>
  <si>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</si>
  <si>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</si>
  <si>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</si>
  <si>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</si>
  <si>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</si>
  <si>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</si>
  <si>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</si>
  <si>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</si>
  <si>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</si>
  <si>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</si>
  <si>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</si>
  <si>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</si>
  <si>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</si>
  <si>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</si>
  <si>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</si>
  <si>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</si>
  <si>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</si>
  <si>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</si>
  <si>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</si>
  <si>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</si>
  <si>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</si>
  <si>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</si>
  <si>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</si>
  <si>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</si>
  <si>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</si>
  <si>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</si>
  <si>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</si>
  <si>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</si>
  <si>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</si>
  <si>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</si>
  <si>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</si>
  <si>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</si>
  <si>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</si>
  <si>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</si>
  <si>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</si>
  <si>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</si>
  <si>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</si>
  <si>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</si>
  <si>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</si>
  <si>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</si>
  <si>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</si>
  <si>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</si>
  <si>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</si>
  <si>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</si>
  <si>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</si>
  <si>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</si>
  <si>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</si>
  <si>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</si>
  <si>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</si>
  <si>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</si>
  <si>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</si>
  <si>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</si>
  <si>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</si>
  <si>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</si>
  <si>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rPr>
      <t xml:space="preserve"> </t>
    </r>
    <r>
      <rPr>
        <i/>
        <sz val="11"/>
        <color indexed="10"/>
        <rFont val="Calibri"/>
        <family val="2"/>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</si>
  <si>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</si>
  <si>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</si>
  <si>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</si>
  <si>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</si>
  <si>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</si>
  <si>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</si>
  <si>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</si>
  <si>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</si>
  <si>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</si>
  <si>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</si>
  <si>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</si>
  <si>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</si>
  <si>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</si>
  <si>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</si>
  <si>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</si>
  <si>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Professeur AGUEMON Abdou-Rahmann</t>
  </si>
  <si>
    <t>Président ABL-Rage</t>
  </si>
  <si>
    <t>Chef service honoraire de réanimation</t>
  </si>
  <si>
    <t>Institut Pasteur de Paris : année 2015 (1 échantillon)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</si>
</sst>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72" formatCode="[$-3409]dd\ mmmm\,\ yyyy;@"/>
  </numFmts>
  <fonts count="26">
    <font>
      <sz val="11"/>
      <color theme="1"/>
      <name val="Calibri"/>
      <family val="2"/>
      <scheme val="minor"/>
    </font>
    <font>
      <i/>
      <sz val="11"/>
      <color indexed="10"/>
      <name val="Calibri"/>
      <family val="2"/>
    </font>
    <font>
      <i/>
      <sz val="11"/>
      <name val="Calibri"/>
      <family val="2"/>
    </font>
    <font>
      <sz val="11"/>
      <color theme="1"/>
      <name val="Calibri"/>
      <family val="2"/>
      <scheme val="minor"/>
    </font>
    <font>
      <sz val="11"/>
      <color theme="0"/>
      <name val="Calibri"/>
      <family val="2"/>
      <scheme val="minor"/>
    </font>
    <font>
      <sz val="11"/>
      <color rgb="FFFF0000"/>
      <name val="Calibri"/>
      <family val="2"/>
      <scheme val="minor"/>
    </font>
    <font>
      <b/>
      <sz val="11"/>
      <color theme="1"/>
      <name val="Calibri"/>
      <family val="2"/>
      <scheme val="minor"/>
    </font>
    <font>
      <b/>
      <sz val="11"/>
      <color theme="0"/>
      <name val="Calibri"/>
      <family val="2"/>
      <scheme val="minor"/>
    </font>
    <font>
      <i/>
      <sz val="11"/>
      <color theme="1"/>
      <name val="Calibri"/>
      <family val="2"/>
      <scheme val="minor"/>
    </font>
    <font>
      <sz val="11"/>
      <name val="Calibri"/>
      <family val="2"/>
      <scheme val="minor"/>
    </font>
    <font>
      <u/>
      <sz val="11"/>
      <color theme="1"/>
      <name val="Calibri"/>
      <family val="2"/>
      <scheme val="minor"/>
    </font>
    <font>
      <b/>
      <u/>
      <sz val="12"/>
      <color theme="1"/>
      <name val="Calibri"/>
      <family val="2"/>
      <scheme val="minor"/>
    </font>
    <font>
      <sz val="10"/>
      <color theme="1"/>
      <name val="Calibri"/>
      <family val="2"/>
      <scheme val="minor"/>
    </font>
    <font>
      <sz val="10"/>
      <color theme="0"/>
      <name val="Calibri"/>
      <family val="2"/>
      <scheme val="minor"/>
    </font>
    <font>
      <sz val="11"/>
      <color theme="1"/>
      <name val="Calibri"/>
      <family val="2"/>
    </font>
    <font>
      <b/>
      <sz val="10"/>
      <color theme="1"/>
      <name val="Calibri"/>
      <family val="2"/>
      <scheme val="minor"/>
    </font>
    <font>
      <b/>
      <sz val="10"/>
      <color theme="0"/>
      <name val="Calibri"/>
      <family val="2"/>
      <scheme val="minor"/>
    </font>
    <font>
      <b/>
      <sz val="11"/>
      <color theme="0" tint="-0.34998626667073579"/>
      <name val="Calibri"/>
      <family val="2"/>
      <scheme val="minor"/>
    </font>
    <font>
      <b/>
      <sz val="14"/>
      <color theme="1"/>
      <name val="Calibri"/>
      <family val="2"/>
      <scheme val="minor"/>
    </font>
    <font>
      <sz val="10"/>
      <color rgb="FF000000"/>
      <name val="Calibri"/>
      <family val="2"/>
      <scheme val="minor"/>
    </font>
    <font>
      <b/>
      <sz val="16"/>
      <color theme="1"/>
      <name val="Calibri"/>
      <family val="2"/>
      <scheme val="minor"/>
    </font>
    <font>
      <sz val="9"/>
      <color theme="1"/>
      <name val="Calibri"/>
      <family val="2"/>
      <scheme val="minor"/>
    </font>
    <font>
      <b/>
      <sz val="12"/>
      <color theme="1"/>
      <name val="Calibri"/>
      <family val="2"/>
      <scheme val="minor"/>
    </font>
    <font>
      <i/>
      <sz val="9"/>
      <color theme="1"/>
      <name val="Calibri"/>
      <family val="2"/>
      <scheme val="minor"/>
    </font>
    <font>
      <u/>
      <sz val="11"/>
      <name val="Calibri"/>
      <family val="2"/>
      <scheme val="minor"/>
    </font>
    <font>
      <i/>
      <sz val="11"/>
      <color rgb="FFFF000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s>
  <cellStyleXfs count="2">
    <xf numFmtId="0" fontId="0" fillId="0" borderId="0"/>
    <xf numFmtId="43" fontId="3" fillId="0" borderId="0" applyFont="0" applyFill="0" applyBorder="0" applyAlignment="0" applyProtection="0"/>
  </cellStyleXfs>
  <cellXfs count="244">
    <xf numFmtId="0" fontId="0" fillId="0" borderId="0" xfId="0"/>
    <xf numFmtId="0" fontId="6" fillId="0" borderId="0" xfId="0" applyFont="1" applyAlignment="1">
      <alignment horizontal="center" vertical="center"/>
    </xf>
    <xf numFmtId="0" fontId="8" fillId="0" borderId="0" xfId="0" applyFont="1"/>
    <xf numFmtId="0" fontId="9"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10" fillId="0" borderId="0" xfId="0" applyFont="1"/>
    <xf numFmtId="0" fontId="10" fillId="0" borderId="0" xfId="0" applyFont="1" applyAlignment="1">
      <alignment wrapText="1"/>
    </xf>
    <xf numFmtId="0" fontId="9"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6" fillId="0" borderId="0" xfId="0" applyFont="1"/>
    <xf numFmtId="0" fontId="9" fillId="0" borderId="0" xfId="0" applyFont="1" applyAlignment="1">
      <alignment wrapText="1"/>
    </xf>
    <xf numFmtId="0" fontId="9" fillId="0" borderId="0" xfId="0" applyFont="1" applyAlignment="1">
      <alignment horizontal="center" vertical="top"/>
    </xf>
    <xf numFmtId="0" fontId="11" fillId="0" borderId="0" xfId="0" applyFont="1" applyAlignment="1">
      <alignment horizontal="left" vertical="top"/>
    </xf>
    <xf numFmtId="0" fontId="0" fillId="0" borderId="0" xfId="0" applyAlignment="1">
      <alignment horizontal="center" vertical="center" wrapText="1"/>
    </xf>
    <xf numFmtId="0" fontId="6" fillId="0" borderId="0" xfId="0" applyFont="1" applyAlignment="1">
      <alignment horizontal="left" vertical="center"/>
    </xf>
    <xf numFmtId="0" fontId="0" fillId="0" borderId="0" xfId="0" applyAlignment="1">
      <alignment horizontal="left" vertical="top"/>
    </xf>
    <xf numFmtId="0" fontId="0" fillId="0" borderId="1" xfId="0" applyBorder="1" applyAlignment="1">
      <alignment horizontal="left" vertical="top"/>
    </xf>
    <xf numFmtId="0" fontId="0" fillId="0" borderId="2" xfId="0" applyBorder="1" applyAlignment="1">
      <alignment horizontal="left" vertical="top" wrapText="1"/>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9" fillId="0" borderId="7" xfId="0" applyFont="1" applyFill="1"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xf>
    <xf numFmtId="0" fontId="0" fillId="0" borderId="11" xfId="0" applyBorder="1" applyAlignment="1">
      <alignment horizontal="left" vertical="top"/>
    </xf>
    <xf numFmtId="0" fontId="0" fillId="0" borderId="1" xfId="0"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6" xfId="0" applyFont="1" applyBorder="1" applyAlignment="1">
      <alignment horizontal="left" vertical="top" wrapText="1"/>
    </xf>
    <xf numFmtId="0" fontId="0" fillId="0" borderId="7" xfId="0" applyFont="1" applyBorder="1" applyAlignment="1">
      <alignment horizontal="left" vertical="top" wrapText="1"/>
    </xf>
    <xf numFmtId="0" fontId="0" fillId="0" borderId="7" xfId="0" applyFont="1" applyFill="1" applyBorder="1" applyAlignment="1">
      <alignment horizontal="left" vertical="top" wrapText="1"/>
    </xf>
    <xf numFmtId="0" fontId="0" fillId="0" borderId="8" xfId="0" applyFont="1" applyBorder="1" applyAlignment="1">
      <alignment horizontal="left" vertical="top" wrapText="1"/>
    </xf>
    <xf numFmtId="0" fontId="0" fillId="0" borderId="0" xfId="0" applyBorder="1" applyAlignment="1">
      <alignment horizontal="center" vertical="center" wrapText="1"/>
    </xf>
    <xf numFmtId="0" fontId="9" fillId="0" borderId="10" xfId="0" applyFont="1"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9" fillId="0" borderId="7"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left" vertical="top" wrapText="1"/>
    </xf>
    <xf numFmtId="0" fontId="0" fillId="0" borderId="9" xfId="0" applyBorder="1" applyAlignment="1">
      <alignment horizontal="left" vertical="top" wrapText="1"/>
    </xf>
    <xf numFmtId="0" fontId="0" fillId="0" borderId="10" xfId="0" applyFill="1" applyBorder="1" applyAlignment="1">
      <alignment horizontal="left" vertical="top" wrapText="1"/>
    </xf>
    <xf numFmtId="43" fontId="3" fillId="0" borderId="10" xfId="1" applyFont="1" applyBorder="1" applyAlignment="1">
      <alignment horizontal="left" vertical="top"/>
    </xf>
    <xf numFmtId="0" fontId="9" fillId="0" borderId="11" xfId="0" applyFont="1" applyFill="1" applyBorder="1" applyAlignment="1">
      <alignment horizontal="left" vertical="top" wrapText="1"/>
    </xf>
    <xf numFmtId="0" fontId="0" fillId="0" borderId="11" xfId="0" applyFill="1" applyBorder="1" applyAlignment="1">
      <alignment horizontal="left" vertical="top" wrapText="1"/>
    </xf>
    <xf numFmtId="0" fontId="12" fillId="0" borderId="6" xfId="0" applyFont="1" applyBorder="1" applyAlignment="1">
      <alignment vertical="top" wrapText="1"/>
    </xf>
    <xf numFmtId="0" fontId="12" fillId="0" borderId="2" xfId="0" applyFont="1" applyBorder="1" applyAlignment="1">
      <alignment vertical="top" wrapText="1"/>
    </xf>
    <xf numFmtId="0" fontId="12" fillId="0" borderId="0" xfId="0" applyFont="1" applyAlignment="1">
      <alignment vertical="top" wrapText="1"/>
    </xf>
    <xf numFmtId="0" fontId="12" fillId="0" borderId="7" xfId="0" applyFont="1" applyBorder="1" applyAlignment="1">
      <alignment vertical="top" wrapText="1"/>
    </xf>
    <xf numFmtId="0" fontId="12" fillId="0" borderId="0" xfId="0" applyFont="1" applyBorder="1" applyAlignment="1">
      <alignment vertical="top" wrapText="1"/>
    </xf>
    <xf numFmtId="0" fontId="12" fillId="0" borderId="8" xfId="0" applyFont="1" applyBorder="1" applyAlignment="1">
      <alignment vertical="top" wrapText="1"/>
    </xf>
    <xf numFmtId="0" fontId="12" fillId="0" borderId="5" xfId="0" applyFont="1" applyBorder="1" applyAlignment="1">
      <alignment vertical="top" wrapText="1"/>
    </xf>
    <xf numFmtId="0" fontId="12" fillId="0" borderId="9" xfId="0" applyFont="1" applyBorder="1" applyAlignment="1">
      <alignment vertical="top" wrapText="1"/>
    </xf>
    <xf numFmtId="0" fontId="12" fillId="0" borderId="10" xfId="0" applyFont="1" applyBorder="1" applyAlignment="1">
      <alignment vertical="top" wrapText="1"/>
    </xf>
    <xf numFmtId="0" fontId="12" fillId="0" borderId="11" xfId="0" applyFont="1" applyBorder="1" applyAlignment="1">
      <alignment vertical="top" wrapText="1"/>
    </xf>
    <xf numFmtId="0" fontId="13" fillId="0" borderId="10" xfId="0" applyFont="1" applyBorder="1" applyAlignment="1">
      <alignment vertical="top" wrapText="1"/>
    </xf>
    <xf numFmtId="0" fontId="4" fillId="0" borderId="0" xfId="0" applyFont="1" applyAlignment="1">
      <alignment horizontal="center" vertical="center" wrapText="1"/>
    </xf>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5" xfId="0" applyFont="1" applyBorder="1" applyAlignment="1">
      <alignment vertical="top" wrapText="1"/>
    </xf>
    <xf numFmtId="0" fontId="13" fillId="0" borderId="9" xfId="0" applyFont="1" applyBorder="1" applyAlignment="1">
      <alignment vertical="top" wrapText="1"/>
    </xf>
    <xf numFmtId="0" fontId="13" fillId="0" borderId="11" xfId="0" applyFont="1" applyBorder="1" applyAlignment="1">
      <alignment vertical="top" wrapText="1"/>
    </xf>
    <xf numFmtId="0" fontId="9" fillId="0" borderId="3" xfId="0" applyFont="1" applyBorder="1" applyAlignment="1">
      <alignment horizontal="center" vertical="top"/>
    </xf>
    <xf numFmtId="0" fontId="9" fillId="0" borderId="3" xfId="0" applyFont="1" applyFill="1" applyBorder="1" applyAlignment="1">
      <alignment horizontal="center" vertical="top" wrapText="1"/>
    </xf>
    <xf numFmtId="0" fontId="9" fillId="0" borderId="3" xfId="0" applyFont="1" applyFill="1" applyBorder="1" applyAlignment="1">
      <alignment horizontal="center" vertical="top"/>
    </xf>
    <xf numFmtId="0" fontId="9" fillId="0" borderId="4" xfId="0" applyFont="1" applyBorder="1" applyAlignment="1">
      <alignment horizontal="center" vertical="top"/>
    </xf>
    <xf numFmtId="0" fontId="9" fillId="0" borderId="1" xfId="0" applyFont="1" applyFill="1" applyBorder="1" applyAlignment="1">
      <alignment horizontal="center" vertical="top" wrapText="1"/>
    </xf>
    <xf numFmtId="0" fontId="9" fillId="0" borderId="4" xfId="0" applyFont="1" applyFill="1" applyBorder="1" applyAlignment="1">
      <alignment horizontal="center" vertical="top" wrapText="1"/>
    </xf>
    <xf numFmtId="0" fontId="9" fillId="0" borderId="7" xfId="0" applyFont="1" applyBorder="1" applyAlignment="1">
      <alignment wrapText="1"/>
    </xf>
    <xf numFmtId="0" fontId="0" fillId="0" borderId="7" xfId="0" applyFill="1" applyBorder="1" applyAlignment="1">
      <alignment horizontal="left" vertical="top" wrapText="1"/>
    </xf>
    <xf numFmtId="0" fontId="0" fillId="0" borderId="0" xfId="0" applyAlignment="1">
      <alignment vertical="top" wrapText="1"/>
    </xf>
    <xf numFmtId="0" fontId="9" fillId="0" borderId="0" xfId="0" applyFont="1" applyAlignment="1">
      <alignment vertical="top" wrapText="1"/>
    </xf>
    <xf numFmtId="0" fontId="14" fillId="0" borderId="6" xfId="0" applyFont="1" applyBorder="1" applyAlignment="1">
      <alignment vertical="center" wrapText="1"/>
    </xf>
    <xf numFmtId="0" fontId="0" fillId="0" borderId="0" xfId="0" applyBorder="1"/>
    <xf numFmtId="0" fontId="0" fillId="0" borderId="5" xfId="0" applyBorder="1"/>
    <xf numFmtId="0" fontId="10" fillId="0" borderId="3" xfId="0" applyFont="1" applyBorder="1"/>
    <xf numFmtId="0" fontId="0" fillId="0" borderId="3" xfId="0" applyBorder="1"/>
    <xf numFmtId="0" fontId="0" fillId="0" borderId="4" xfId="0" applyBorder="1"/>
    <xf numFmtId="0" fontId="0" fillId="0" borderId="2" xfId="0" applyBorder="1"/>
    <xf numFmtId="0" fontId="0" fillId="0" borderId="0" xfId="0" applyFill="1" applyBorder="1" applyAlignment="1">
      <alignment horizontal="left" vertical="top"/>
    </xf>
    <xf numFmtId="0" fontId="0" fillId="0" borderId="2" xfId="0" applyFill="1" applyBorder="1" applyAlignment="1">
      <alignment horizontal="left" vertical="top"/>
    </xf>
    <xf numFmtId="0" fontId="12" fillId="0" borderId="12"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7" fillId="2" borderId="9"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0" fillId="0" borderId="0" xfId="0" applyBorder="1" applyAlignment="1">
      <alignment vertical="top"/>
    </xf>
    <xf numFmtId="0" fontId="0" fillId="0" borderId="2" xfId="0" applyBorder="1" applyAlignment="1">
      <alignment vertical="top"/>
    </xf>
    <xf numFmtId="0" fontId="0" fillId="0" borderId="5" xfId="0" applyBorder="1" applyAlignment="1">
      <alignment vertical="top"/>
    </xf>
    <xf numFmtId="0" fontId="6" fillId="3" borderId="15" xfId="0" applyFont="1" applyFill="1" applyBorder="1" applyAlignment="1">
      <alignment horizontal="center" vertical="center"/>
    </xf>
    <xf numFmtId="0" fontId="6" fillId="3" borderId="16" xfId="0" applyFont="1" applyFill="1" applyBorder="1" applyAlignment="1">
      <alignment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17" fillId="3" borderId="15"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2" xfId="0" applyBorder="1" applyAlignment="1"/>
    <xf numFmtId="0" fontId="0" fillId="4" borderId="10" xfId="0" applyFill="1" applyBorder="1" applyAlignment="1" applyProtection="1">
      <alignment horizontal="center" vertical="center"/>
      <protection locked="0"/>
    </xf>
    <xf numFmtId="0" fontId="0" fillId="4" borderId="7" xfId="0" applyFill="1" applyBorder="1" applyProtection="1">
      <protection locked="0"/>
    </xf>
    <xf numFmtId="0" fontId="0" fillId="4" borderId="9" xfId="0" applyFill="1" applyBorder="1" applyAlignment="1" applyProtection="1">
      <alignment horizontal="center" vertical="center"/>
      <protection locked="0"/>
    </xf>
    <xf numFmtId="0" fontId="0" fillId="4" borderId="6" xfId="0" applyFill="1" applyBorder="1" applyProtection="1">
      <protection locked="0"/>
    </xf>
    <xf numFmtId="0" fontId="0" fillId="4" borderId="11" xfId="0" applyFill="1" applyBorder="1" applyAlignment="1" applyProtection="1">
      <alignment horizontal="center" vertical="center"/>
      <protection locked="0"/>
    </xf>
    <xf numFmtId="0" fontId="0" fillId="4" borderId="8" xfId="0" applyFill="1" applyBorder="1" applyProtection="1">
      <protection locked="0"/>
    </xf>
    <xf numFmtId="0" fontId="9" fillId="4" borderId="10" xfId="0" applyFont="1" applyFill="1" applyBorder="1" applyAlignment="1" applyProtection="1">
      <alignment horizontal="center" vertical="center"/>
      <protection locked="0"/>
    </xf>
    <xf numFmtId="0" fontId="9" fillId="4" borderId="7" xfId="0" applyFont="1" applyFill="1" applyBorder="1" applyProtection="1">
      <protection locked="0"/>
    </xf>
    <xf numFmtId="0" fontId="9" fillId="4" borderId="9" xfId="0" applyFont="1" applyFill="1" applyBorder="1" applyAlignment="1" applyProtection="1">
      <alignment horizontal="center" vertical="center"/>
      <protection locked="0"/>
    </xf>
    <xf numFmtId="0" fontId="9" fillId="4" borderId="6" xfId="0" applyFont="1" applyFill="1" applyBorder="1" applyProtection="1">
      <protection locked="0"/>
    </xf>
    <xf numFmtId="0" fontId="9" fillId="4" borderId="11" xfId="0" applyFont="1" applyFill="1" applyBorder="1" applyAlignment="1" applyProtection="1">
      <alignment horizontal="center" vertical="center"/>
      <protection locked="0"/>
    </xf>
    <xf numFmtId="0" fontId="9" fillId="4" borderId="8" xfId="0" applyFont="1" applyFill="1" applyBorder="1" applyProtection="1">
      <protection locked="0"/>
    </xf>
    <xf numFmtId="0" fontId="0" fillId="4" borderId="9" xfId="0" applyFill="1" applyBorder="1" applyProtection="1">
      <protection locked="0"/>
    </xf>
    <xf numFmtId="0" fontId="0" fillId="4" borderId="11" xfId="0" applyFill="1" applyBorder="1" applyProtection="1">
      <protection locked="0"/>
    </xf>
    <xf numFmtId="0" fontId="0" fillId="4" borderId="10" xfId="0" applyFill="1" applyBorder="1" applyProtection="1">
      <protection locked="0"/>
    </xf>
    <xf numFmtId="0" fontId="0" fillId="4" borderId="10"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7" xfId="0" applyFill="1" applyBorder="1" applyAlignment="1" applyProtection="1">
      <alignment horizontal="left" vertical="top"/>
      <protection locked="0"/>
    </xf>
    <xf numFmtId="0" fontId="0" fillId="4" borderId="8" xfId="0" applyFill="1" applyBorder="1" applyAlignment="1" applyProtection="1">
      <alignment horizontal="left" vertical="top"/>
      <protection locked="0"/>
    </xf>
    <xf numFmtId="0" fontId="6" fillId="3" borderId="17" xfId="0" applyFont="1" applyFill="1" applyBorder="1" applyAlignment="1">
      <alignment horizontal="center" vertical="center" wrapText="1"/>
    </xf>
    <xf numFmtId="0" fontId="12" fillId="5" borderId="1" xfId="0" applyFont="1" applyFill="1" applyBorder="1" applyAlignment="1">
      <alignment vertical="top" wrapText="1"/>
    </xf>
    <xf numFmtId="0" fontId="19" fillId="5" borderId="3" xfId="0" applyFont="1" applyFill="1" applyBorder="1" applyAlignment="1">
      <alignment vertical="top" wrapText="1"/>
    </xf>
    <xf numFmtId="0" fontId="12" fillId="5" borderId="3" xfId="0" applyFont="1" applyFill="1" applyBorder="1" applyAlignment="1">
      <alignment vertical="top" wrapText="1"/>
    </xf>
    <xf numFmtId="0" fontId="12" fillId="5" borderId="4" xfId="0" applyFont="1" applyFill="1" applyBorder="1" applyAlignment="1">
      <alignment vertical="top" wrapText="1"/>
    </xf>
    <xf numFmtId="0" fontId="12" fillId="5" borderId="0" xfId="0" applyFont="1" applyFill="1" applyBorder="1" applyAlignment="1">
      <alignment vertical="top" wrapText="1"/>
    </xf>
    <xf numFmtId="0" fontId="12" fillId="5" borderId="19" xfId="0" applyFont="1" applyFill="1" applyBorder="1" applyAlignment="1">
      <alignment vertical="top" wrapText="1"/>
    </xf>
    <xf numFmtId="0" fontId="12" fillId="5" borderId="20" xfId="0" applyFont="1" applyFill="1" applyBorder="1" applyAlignment="1">
      <alignment vertical="top" wrapText="1"/>
    </xf>
    <xf numFmtId="0" fontId="12" fillId="5" borderId="21" xfId="0" applyFont="1" applyFill="1" applyBorder="1" applyAlignment="1">
      <alignment vertical="top" wrapText="1"/>
    </xf>
    <xf numFmtId="0" fontId="6" fillId="0" borderId="0" xfId="0" applyFont="1" applyFill="1" applyAlignment="1">
      <alignment horizontal="center" vertical="center"/>
    </xf>
    <xf numFmtId="0" fontId="16" fillId="0" borderId="10" xfId="0" applyFont="1" applyBorder="1" applyAlignment="1">
      <alignment horizontal="center" vertical="top" wrapText="1"/>
    </xf>
    <xf numFmtId="0" fontId="15" fillId="0" borderId="10" xfId="0" applyFont="1" applyBorder="1" applyAlignment="1">
      <alignment horizontal="center" vertical="top" wrapText="1"/>
    </xf>
    <xf numFmtId="0" fontId="15" fillId="0" borderId="11" xfId="0" applyFont="1" applyBorder="1" applyAlignment="1">
      <alignment horizontal="center" vertical="top" wrapText="1"/>
    </xf>
    <xf numFmtId="0" fontId="7" fillId="0" borderId="10"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7" fillId="0" borderId="3" xfId="0" applyFont="1" applyBorder="1" applyAlignment="1">
      <alignment horizontal="center" vertical="top" wrapText="1"/>
    </xf>
    <xf numFmtId="0" fontId="6" fillId="0" borderId="3" xfId="0" applyFont="1" applyBorder="1" applyAlignment="1">
      <alignment horizontal="center" vertical="top" wrapText="1"/>
    </xf>
    <xf numFmtId="0" fontId="6" fillId="0" borderId="4" xfId="0" applyFont="1" applyBorder="1" applyAlignment="1">
      <alignment horizontal="center" vertical="top" wrapText="1"/>
    </xf>
    <xf numFmtId="0" fontId="6" fillId="0" borderId="0" xfId="0" applyFont="1" applyAlignment="1">
      <alignment horizontal="center" vertical="center" wrapText="1"/>
    </xf>
    <xf numFmtId="0" fontId="20" fillId="0" borderId="9" xfId="0" applyFont="1" applyBorder="1" applyAlignment="1">
      <alignment horizontal="center" vertical="top" wrapText="1"/>
    </xf>
    <xf numFmtId="0" fontId="20" fillId="0" borderId="1" xfId="0" applyFont="1" applyBorder="1" applyAlignment="1">
      <alignment horizontal="center" vertical="top" wrapText="1"/>
    </xf>
    <xf numFmtId="0" fontId="0" fillId="0" borderId="0" xfId="0" applyFont="1" applyAlignment="1">
      <alignment horizont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21" fillId="0" borderId="0" xfId="0" applyFont="1" applyAlignment="1">
      <alignment horizontal="left" vertical="center" indent="2"/>
    </xf>
    <xf numFmtId="0" fontId="22" fillId="6" borderId="15" xfId="0" applyFont="1" applyFill="1" applyBorder="1" applyAlignment="1">
      <alignment horizontal="center" vertical="center" wrapText="1"/>
    </xf>
    <xf numFmtId="172" fontId="6" fillId="6" borderId="18" xfId="0" applyNumberFormat="1" applyFont="1" applyFill="1" applyBorder="1" applyAlignment="1">
      <alignment horizontal="center" vertical="center"/>
    </xf>
    <xf numFmtId="0" fontId="9" fillId="0" borderId="0" xfId="0" applyFont="1" applyBorder="1" applyAlignment="1">
      <alignment vertical="top"/>
    </xf>
    <xf numFmtId="0" fontId="9" fillId="0" borderId="2" xfId="0" applyFont="1" applyBorder="1" applyAlignment="1">
      <alignment vertical="top"/>
    </xf>
    <xf numFmtId="43" fontId="9" fillId="0" borderId="5" xfId="1" applyFont="1" applyBorder="1" applyAlignment="1">
      <alignment vertical="top"/>
    </xf>
    <xf numFmtId="0" fontId="9" fillId="0" borderId="5" xfId="0" applyFont="1" applyBorder="1" applyAlignment="1">
      <alignment vertical="top"/>
    </xf>
    <xf numFmtId="0" fontId="9" fillId="0" borderId="0" xfId="0" applyFont="1" applyBorder="1" applyAlignment="1">
      <alignment vertical="top" wrapText="1"/>
    </xf>
    <xf numFmtId="0" fontId="0" fillId="0" borderId="10" xfId="0" applyBorder="1" applyAlignment="1">
      <alignment horizontal="center" vertical="center"/>
    </xf>
    <xf numFmtId="0" fontId="0" fillId="0" borderId="11" xfId="0" applyBorder="1"/>
    <xf numFmtId="0" fontId="0" fillId="0" borderId="0" xfId="0" applyAlignment="1">
      <alignment horizontal="center"/>
    </xf>
    <xf numFmtId="0" fontId="0" fillId="0" borderId="9" xfId="0" applyBorder="1" applyAlignment="1">
      <alignment horizontal="left"/>
    </xf>
    <xf numFmtId="0" fontId="0" fillId="0" borderId="9" xfId="0" applyBorder="1" applyAlignment="1">
      <alignment horizontal="center"/>
    </xf>
    <xf numFmtId="0" fontId="23" fillId="0" borderId="10" xfId="0" applyFont="1" applyBorder="1" applyAlignment="1">
      <alignment horizontal="left" indent="2"/>
    </xf>
    <xf numFmtId="0" fontId="0" fillId="0" borderId="10" xfId="0" applyBorder="1" applyAlignment="1">
      <alignment horizontal="center"/>
    </xf>
    <xf numFmtId="0" fontId="0" fillId="0" borderId="10" xfId="0" applyBorder="1" applyAlignment="1">
      <alignment horizontal="left"/>
    </xf>
    <xf numFmtId="0" fontId="23" fillId="0" borderId="11" xfId="0" applyFont="1" applyBorder="1" applyAlignment="1">
      <alignment horizontal="left" indent="2"/>
    </xf>
    <xf numFmtId="0" fontId="0" fillId="0" borderId="11"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9"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10" fillId="0" borderId="0" xfId="0" applyFont="1" applyBorder="1" applyAlignment="1">
      <alignment vertical="top"/>
    </xf>
    <xf numFmtId="0" fontId="9" fillId="0" borderId="0" xfId="0" applyFont="1" applyBorder="1" applyAlignment="1">
      <alignment horizontal="left" vertical="top" wrapText="1"/>
    </xf>
    <xf numFmtId="0" fontId="10" fillId="0" borderId="0" xfId="0" applyFont="1" applyBorder="1" applyAlignment="1">
      <alignment vertical="top" wrapText="1"/>
    </xf>
    <xf numFmtId="0" fontId="0" fillId="0" borderId="0" xfId="0" applyFill="1" applyBorder="1" applyAlignment="1">
      <alignment horizontal="center" vertical="top" wrapText="1"/>
    </xf>
    <xf numFmtId="0" fontId="5" fillId="0" borderId="0" xfId="0" applyFont="1" applyFill="1" applyBorder="1" applyAlignment="1">
      <alignment horizontal="left" vertical="top" wrapText="1"/>
    </xf>
    <xf numFmtId="0" fontId="9" fillId="0" borderId="0" xfId="0" applyFont="1" applyBorder="1" applyAlignment="1">
      <alignment horizontal="center" vertical="top"/>
    </xf>
    <xf numFmtId="0" fontId="24" fillId="0" borderId="0" xfId="0" applyFont="1" applyBorder="1" applyAlignment="1">
      <alignment vertical="top"/>
    </xf>
    <xf numFmtId="0" fontId="9" fillId="0" borderId="0" xfId="0" applyFont="1" applyBorder="1" applyAlignment="1">
      <alignment wrapText="1"/>
    </xf>
    <xf numFmtId="0" fontId="9" fillId="0" borderId="0" xfId="0" applyFont="1" applyFill="1" applyBorder="1" applyAlignment="1">
      <alignment horizontal="center" vertical="top" wrapText="1"/>
    </xf>
    <xf numFmtId="0" fontId="14" fillId="0" borderId="0" xfId="0" applyFont="1" applyBorder="1" applyAlignment="1">
      <alignment vertical="center" wrapText="1"/>
    </xf>
    <xf numFmtId="0" fontId="0" fillId="0" borderId="0" xfId="0" applyFill="1" applyBorder="1" applyAlignment="1">
      <alignment horizontal="left" vertical="top" wrapText="1"/>
    </xf>
    <xf numFmtId="0" fontId="9" fillId="0" borderId="0" xfId="0" applyFont="1" applyFill="1" applyBorder="1" applyAlignment="1">
      <alignment horizontal="center" vertical="top"/>
    </xf>
    <xf numFmtId="0" fontId="10" fillId="0" borderId="0" xfId="0" applyFont="1" applyBorder="1"/>
    <xf numFmtId="0" fontId="0" fillId="0" borderId="0" xfId="0" applyAlignment="1">
      <alignment vertical="center"/>
    </xf>
    <xf numFmtId="0" fontId="6" fillId="2" borderId="9" xfId="0" applyFont="1" applyFill="1" applyBorder="1" applyAlignment="1">
      <alignment horizontal="center" vertical="center" wrapText="1"/>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0" xfId="0" applyFont="1" applyBorder="1" applyAlignment="1">
      <alignment vertical="top" wrapText="1"/>
    </xf>
    <xf numFmtId="0" fontId="0" fillId="0" borderId="0" xfId="0"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0" xfId="0" applyFont="1" applyFill="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0" fillId="0" borderId="7" xfId="0" applyBorder="1"/>
    <xf numFmtId="0" fontId="0" fillId="0" borderId="3" xfId="0" applyFont="1" applyBorder="1" applyAlignment="1">
      <alignment wrapText="1"/>
    </xf>
    <xf numFmtId="0" fontId="0" fillId="0" borderId="9" xfId="0" applyFill="1" applyBorder="1" applyAlignment="1">
      <alignment horizontal="left" vertical="top"/>
    </xf>
    <xf numFmtId="0" fontId="0" fillId="0" borderId="10" xfId="0" applyFill="1" applyBorder="1" applyAlignment="1">
      <alignment horizontal="left" vertical="top"/>
    </xf>
    <xf numFmtId="0" fontId="8" fillId="0" borderId="10" xfId="0" applyFont="1" applyFill="1" applyBorder="1" applyAlignment="1">
      <alignment horizontal="left" vertical="top" wrapText="1"/>
    </xf>
    <xf numFmtId="0" fontId="9" fillId="0" borderId="8" xfId="0" applyFont="1" applyFill="1" applyBorder="1" applyAlignment="1">
      <alignment horizontal="left" vertical="top" wrapText="1"/>
    </xf>
    <xf numFmtId="0" fontId="0" fillId="0" borderId="0" xfId="0" applyFill="1"/>
    <xf numFmtId="0" fontId="8" fillId="0" borderId="11" xfId="0" applyFont="1" applyFill="1" applyBorder="1" applyAlignment="1">
      <alignment horizontal="left" vertical="top" wrapText="1"/>
    </xf>
    <xf numFmtId="0" fontId="0" fillId="0" borderId="10" xfId="0" applyFont="1" applyFill="1" applyBorder="1" applyAlignment="1">
      <alignment horizontal="left" vertical="top" wrapText="1"/>
    </xf>
    <xf numFmtId="0" fontId="9" fillId="0" borderId="7" xfId="0" applyFont="1" applyFill="1" applyBorder="1" applyAlignment="1">
      <alignment wrapText="1"/>
    </xf>
    <xf numFmtId="0" fontId="25" fillId="0" borderId="0" xfId="0" applyFont="1" applyBorder="1"/>
    <xf numFmtId="0" fontId="23" fillId="0" borderId="3" xfId="0" applyFont="1" applyBorder="1" applyAlignment="1">
      <alignment horizontal="left" wrapText="1" indent="2"/>
    </xf>
    <xf numFmtId="0" fontId="23" fillId="0" borderId="4" xfId="0" applyFont="1" applyBorder="1" applyAlignment="1">
      <alignment horizontal="left" wrapText="1" indent="2"/>
    </xf>
    <xf numFmtId="0" fontId="9" fillId="7" borderId="17" xfId="0" applyFont="1" applyFill="1" applyBorder="1" applyAlignment="1" applyProtection="1">
      <alignment horizontal="center" vertical="center"/>
      <protection locked="0"/>
    </xf>
    <xf numFmtId="0" fontId="9" fillId="7" borderId="17" xfId="0" applyFont="1" applyFill="1" applyBorder="1" applyAlignment="1" applyProtection="1">
      <alignment vertical="center"/>
      <protection locked="0"/>
    </xf>
    <xf numFmtId="0" fontId="0" fillId="7" borderId="17" xfId="0" applyFill="1" applyBorder="1" applyAlignment="1" applyProtection="1">
      <alignment vertical="center"/>
      <protection locked="0"/>
    </xf>
    <xf numFmtId="0" fontId="0" fillId="0" borderId="0" xfId="0" applyAlignment="1">
      <alignment vertical="center"/>
    </xf>
    <xf numFmtId="0" fontId="0" fillId="0" borderId="7" xfId="0" applyBorder="1" applyAlignment="1">
      <alignment vertical="center"/>
    </xf>
    <xf numFmtId="0" fontId="0" fillId="7" borderId="17" xfId="0" applyFill="1" applyBorder="1" applyAlignment="1" applyProtection="1">
      <alignment horizontal="center" vertical="center"/>
      <protection locked="0"/>
    </xf>
    <xf numFmtId="172" fontId="0" fillId="7" borderId="17"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7" xfId="0" applyBorder="1" applyAlignment="1">
      <alignment horizontal="left" vertical="center"/>
    </xf>
    <xf numFmtId="0" fontId="10" fillId="0" borderId="1"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9" xfId="0" applyFont="1" applyBorder="1" applyAlignment="1">
      <alignment horizontal="left" vertical="top" wrapText="1"/>
    </xf>
    <xf numFmtId="0" fontId="10" fillId="0" borderId="11" xfId="0" applyFont="1" applyBorder="1" applyAlignment="1">
      <alignment horizontal="left" vertical="top" wrapText="1"/>
    </xf>
    <xf numFmtId="0" fontId="10" fillId="0" borderId="10" xfId="0" applyFont="1" applyBorder="1" applyAlignment="1">
      <alignment horizontal="left" vertical="top" wrapText="1"/>
    </xf>
    <xf numFmtId="0" fontId="24" fillId="0" borderId="1" xfId="0" applyFont="1" applyBorder="1" applyAlignment="1">
      <alignment horizontal="left" vertical="top" wrapText="1"/>
    </xf>
    <xf numFmtId="0" fontId="24" fillId="0" borderId="3" xfId="0" applyFont="1" applyBorder="1" applyAlignment="1">
      <alignment horizontal="left" vertical="top" wrapText="1"/>
    </xf>
    <xf numFmtId="0" fontId="24" fillId="0" borderId="4" xfId="0" applyFont="1" applyBorder="1" applyAlignment="1">
      <alignment horizontal="left" vertical="top" wrapText="1"/>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6" xfId="0" applyFont="1" applyFill="1" applyBorder="1" applyAlignment="1">
      <alignment horizontal="center" vertical="center"/>
    </xf>
    <xf numFmtId="172" fontId="6" fillId="6" borderId="4" xfId="0" applyNumberFormat="1" applyFont="1" applyFill="1" applyBorder="1" applyAlignment="1">
      <alignment horizontal="center" vertical="center"/>
    </xf>
    <xf numFmtId="172" fontId="6" fillId="6" borderId="5" xfId="0" applyNumberFormat="1" applyFont="1" applyFill="1" applyBorder="1" applyAlignment="1">
      <alignment horizontal="center" vertical="center"/>
    </xf>
    <xf numFmtId="172" fontId="6" fillId="6" borderId="8" xfId="0" applyNumberFormat="1"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136525</xdr:colOff>
      <xdr:row>4</xdr:row>
      <xdr:rowOff>38100</xdr:rowOff>
    </xdr:from>
    <xdr:to>
      <xdr:col>8</xdr:col>
      <xdr:colOff>577819</xdr:colOff>
      <xdr:row>14</xdr:row>
      <xdr:rowOff>180975</xdr:rowOff>
    </xdr:to>
    <xdr:sp macro="" textlink="">
      <xdr:nvSpPr>
        <xdr:cNvPr id="3" name="TextBox 2">
          <a:extLst>
            <a:ext uri="{FF2B5EF4-FFF2-40B4-BE49-F238E27FC236}">
              <a16:creationId xmlns:a16="http://schemas.microsoft.com/office/drawing/2014/main" id="{8671FDB1-FE3D-0C46-859D-51C32D2A1C27}"/>
            </a:ext>
          </a:extLst>
        </xdr:cNvPr>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11</xdr:col>
      <xdr:colOff>38100</xdr:colOff>
      <xdr:row>2</xdr:row>
      <xdr:rowOff>50800</xdr:rowOff>
    </xdr:from>
    <xdr:to>
      <xdr:col>19</xdr:col>
      <xdr:colOff>660400</xdr:colOff>
      <xdr:row>23</xdr:row>
      <xdr:rowOff>114300</xdr:rowOff>
    </xdr:to>
    <xdr:pic>
      <xdr:nvPicPr>
        <xdr:cNvPr id="2078" name="Picture 6">
          <a:extLst>
            <a:ext uri="{FF2B5EF4-FFF2-40B4-BE49-F238E27FC236}">
              <a16:creationId xmlns:a16="http://schemas.microsoft.com/office/drawing/2014/main" id="{8EA47DD6-C84A-6E4B-8070-C0AEEC580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21600" y="482600"/>
          <a:ext cx="6210300" cy="406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225425</xdr:colOff>
      <xdr:row>0</xdr:row>
      <xdr:rowOff>66675</xdr:rowOff>
    </xdr:from>
    <xdr:to>
      <xdr:col>14</xdr:col>
      <xdr:colOff>571525</xdr:colOff>
      <xdr:row>3</xdr:row>
      <xdr:rowOff>66675</xdr:rowOff>
    </xdr:to>
    <xdr:sp macro="" textlink="">
      <xdr:nvSpPr>
        <xdr:cNvPr id="4" name="TextBox 3">
          <a:extLst>
            <a:ext uri="{FF2B5EF4-FFF2-40B4-BE49-F238E27FC236}">
              <a16:creationId xmlns:a16="http://schemas.microsoft.com/office/drawing/2014/main" id="{145A25A4-21F0-6141-AB5F-8B59AF052E2B}"/>
            </a:ext>
          </a:extLst>
        </xdr:cNvPr>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609600</xdr:colOff>
      <xdr:row>15</xdr:row>
      <xdr:rowOff>85725</xdr:rowOff>
    </xdr:from>
    <xdr:to>
      <xdr:col>7</xdr:col>
      <xdr:colOff>561975</xdr:colOff>
      <xdr:row>19</xdr:row>
      <xdr:rowOff>120700</xdr:rowOff>
    </xdr:to>
    <xdr:sp macro="" textlink="">
      <xdr:nvSpPr>
        <xdr:cNvPr id="6" name="TextBox 5">
          <a:extLst>
            <a:ext uri="{FF2B5EF4-FFF2-40B4-BE49-F238E27FC236}">
              <a16:creationId xmlns:a16="http://schemas.microsoft.com/office/drawing/2014/main" id="{72DC17B3-9B84-9A43-9FBA-DDAB5D3BA531}"/>
            </a:ext>
          </a:extLst>
        </xdr:cNvPr>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ts val="11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zoomScaleNormal="100" workbookViewId="0">
      <selection activeCell="D24" sqref="D24"/>
    </sheetView>
  </sheetViews>
  <sheetFormatPr baseColWidth="10" defaultColWidth="9.1640625" defaultRowHeight="15"/>
  <sheetData>
    <row r="1" spans="1:1" ht="19">
      <c r="A1" s="104"/>
    </row>
    <row r="2" spans="1:1">
      <c r="A2" s="11"/>
    </row>
  </sheetData>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opLeftCell="A11" workbookViewId="0">
      <selection activeCell="E8" sqref="E8"/>
    </sheetView>
  </sheetViews>
  <sheetFormatPr baseColWidth="10" defaultColWidth="9.1640625" defaultRowHeight="15"/>
  <cols>
    <col min="1" max="1" width="9.1640625" style="4" customWidth="1"/>
    <col min="2" max="2" width="14.83203125" customWidth="1"/>
    <col min="3" max="3" width="56" style="5" customWidth="1"/>
    <col min="4" max="4" width="50.33203125" customWidth="1"/>
    <col min="6" max="6" width="38.83203125" customWidth="1"/>
    <col min="7" max="7" width="71.6640625" style="199" customWidth="1"/>
  </cols>
  <sheetData>
    <row r="1" spans="1:7" ht="16">
      <c r="A1" s="14" t="s">
        <v>494</v>
      </c>
      <c r="D1" s="5"/>
    </row>
    <row r="2" spans="1:7">
      <c r="A2" s="2" t="s">
        <v>380</v>
      </c>
      <c r="D2" s="5"/>
    </row>
    <row r="4" spans="1:7" s="139" customFormat="1" ht="32">
      <c r="A4" s="99" t="s">
        <v>426</v>
      </c>
      <c r="B4" s="103" t="s">
        <v>97</v>
      </c>
      <c r="C4" s="100" t="s">
        <v>427</v>
      </c>
      <c r="D4" s="130" t="s">
        <v>428</v>
      </c>
      <c r="E4" s="101" t="s">
        <v>1</v>
      </c>
      <c r="F4" s="102" t="s">
        <v>429</v>
      </c>
      <c r="G4" s="201"/>
    </row>
    <row r="5" spans="1:7" ht="32">
      <c r="A5" s="31">
        <v>1</v>
      </c>
      <c r="B5" s="225" t="s">
        <v>495</v>
      </c>
      <c r="C5" s="23" t="s">
        <v>496</v>
      </c>
      <c r="D5" s="96"/>
      <c r="E5" s="109">
        <v>1</v>
      </c>
      <c r="F5" s="110"/>
    </row>
    <row r="6" spans="1:7">
      <c r="A6" s="31">
        <v>1</v>
      </c>
      <c r="B6" s="226"/>
      <c r="C6" s="203" t="s">
        <v>497</v>
      </c>
      <c r="D6" s="96"/>
      <c r="E6" s="109">
        <v>1</v>
      </c>
      <c r="F6" s="110"/>
    </row>
    <row r="7" spans="1:7" ht="32">
      <c r="A7" s="31">
        <v>1</v>
      </c>
      <c r="B7" s="226"/>
      <c r="C7" s="24" t="s">
        <v>498</v>
      </c>
      <c r="D7" s="96" t="s">
        <v>499</v>
      </c>
      <c r="E7" s="109">
        <v>1</v>
      </c>
      <c r="F7" s="110"/>
    </row>
    <row r="8" spans="1:7" ht="32">
      <c r="A8" s="31">
        <v>2</v>
      </c>
      <c r="B8" s="226"/>
      <c r="C8" s="24" t="s">
        <v>500</v>
      </c>
      <c r="D8" s="96"/>
      <c r="E8" s="109">
        <v>1</v>
      </c>
      <c r="F8" s="110"/>
    </row>
    <row r="9" spans="1:7" ht="16">
      <c r="A9" s="31">
        <v>2</v>
      </c>
      <c r="B9" s="227"/>
      <c r="C9" s="43" t="s">
        <v>501</v>
      </c>
      <c r="D9" s="96"/>
      <c r="E9" s="109">
        <v>0</v>
      </c>
      <c r="F9" s="110"/>
    </row>
    <row r="10" spans="1:7" ht="48">
      <c r="A10" s="30">
        <v>1</v>
      </c>
      <c r="B10" s="225" t="s">
        <v>502</v>
      </c>
      <c r="C10" s="42" t="s">
        <v>503</v>
      </c>
      <c r="D10" s="97"/>
      <c r="E10" s="111">
        <v>0</v>
      </c>
      <c r="F10" s="112"/>
    </row>
    <row r="11" spans="1:7" ht="32">
      <c r="A11" s="31">
        <v>1</v>
      </c>
      <c r="B11" s="226"/>
      <c r="C11" s="41" t="s">
        <v>504</v>
      </c>
      <c r="D11" s="96"/>
      <c r="E11" s="109">
        <v>0</v>
      </c>
      <c r="F11" s="110"/>
    </row>
    <row r="12" spans="1:7" ht="48">
      <c r="A12" s="31">
        <v>2</v>
      </c>
      <c r="B12" s="226"/>
      <c r="C12" s="41" t="s">
        <v>505</v>
      </c>
      <c r="D12" s="198" t="s">
        <v>531</v>
      </c>
      <c r="E12" s="109">
        <v>0</v>
      </c>
      <c r="F12" s="110"/>
    </row>
    <row r="13" spans="1:7" ht="32">
      <c r="A13" s="31">
        <v>2</v>
      </c>
      <c r="B13" s="226"/>
      <c r="C13" s="41" t="s">
        <v>506</v>
      </c>
      <c r="D13" s="96"/>
      <c r="E13" s="109">
        <v>0</v>
      </c>
      <c r="F13" s="110"/>
    </row>
    <row r="14" spans="1:7" ht="32">
      <c r="A14" s="31">
        <v>3</v>
      </c>
      <c r="B14" s="226"/>
      <c r="C14" s="41" t="s">
        <v>507</v>
      </c>
      <c r="D14" s="96" t="s">
        <v>511</v>
      </c>
      <c r="E14" s="109">
        <v>0</v>
      </c>
      <c r="F14" s="110"/>
    </row>
    <row r="15" spans="1:7" ht="32">
      <c r="A15" s="31">
        <v>3</v>
      </c>
      <c r="B15" s="226"/>
      <c r="C15" s="41" t="s">
        <v>508</v>
      </c>
      <c r="D15" s="96" t="s">
        <v>511</v>
      </c>
      <c r="E15" s="109">
        <v>0</v>
      </c>
      <c r="F15" s="110"/>
    </row>
    <row r="16" spans="1:7" ht="32">
      <c r="A16" s="31">
        <v>3</v>
      </c>
      <c r="B16" s="226"/>
      <c r="C16" s="41" t="s">
        <v>509</v>
      </c>
      <c r="D16" s="96"/>
      <c r="E16" s="109">
        <v>0</v>
      </c>
      <c r="F16" s="110"/>
    </row>
    <row r="17" spans="1:6" ht="32">
      <c r="A17" s="32">
        <v>4</v>
      </c>
      <c r="B17" s="227"/>
      <c r="C17" s="43" t="s">
        <v>510</v>
      </c>
      <c r="D17" s="98"/>
      <c r="E17" s="113">
        <v>0</v>
      </c>
      <c r="F17" s="114"/>
    </row>
    <row r="18" spans="1:6" ht="32">
      <c r="A18" s="31">
        <v>4</v>
      </c>
      <c r="B18" s="226" t="s">
        <v>512</v>
      </c>
      <c r="C18" s="24" t="s">
        <v>513</v>
      </c>
      <c r="D18" s="96"/>
      <c r="E18" s="109">
        <v>0</v>
      </c>
      <c r="F18" s="110"/>
    </row>
    <row r="19" spans="1:6" ht="48">
      <c r="A19" s="32">
        <v>4</v>
      </c>
      <c r="B19" s="227"/>
      <c r="C19" s="25" t="s">
        <v>514</v>
      </c>
      <c r="D19" s="98"/>
      <c r="E19" s="113">
        <v>0</v>
      </c>
      <c r="F19" s="114"/>
    </row>
  </sheetData>
  <sheetProtection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topLeftCell="A9" workbookViewId="0">
      <selection activeCell="A5" sqref="A5"/>
    </sheetView>
  </sheetViews>
  <sheetFormatPr baseColWidth="10" defaultColWidth="9.1640625" defaultRowHeight="15"/>
  <cols>
    <col min="1" max="1" width="36.6640625" customWidth="1"/>
    <col min="2" max="3" width="15.83203125" customWidth="1"/>
    <col min="4" max="4" width="6.5" customWidth="1"/>
    <col min="5" max="5" width="29" customWidth="1"/>
    <col min="6" max="6" width="15.83203125" customWidth="1"/>
    <col min="7" max="7" width="15.83203125" style="165" customWidth="1"/>
    <col min="8" max="8" width="16.6640625" style="165" customWidth="1"/>
  </cols>
  <sheetData>
    <row r="1" spans="1:8" ht="19">
      <c r="A1" s="105" t="s">
        <v>516</v>
      </c>
      <c r="E1" s="234" t="str">
        <f>'SUMMARY (Stage)'!E1</f>
        <v>BENIN</v>
      </c>
      <c r="F1" s="235"/>
      <c r="G1" s="236"/>
    </row>
    <row r="2" spans="1:8">
      <c r="A2" s="16" t="s">
        <v>520</v>
      </c>
      <c r="E2" s="237">
        <f>'SUMMARY (Stage)'!F1</f>
        <v>42183</v>
      </c>
      <c r="F2" s="238"/>
      <c r="G2" s="239"/>
    </row>
    <row r="4" spans="1:8">
      <c r="A4" s="16"/>
    </row>
    <row r="5" spans="1:8">
      <c r="A5" s="16"/>
    </row>
    <row r="6" spans="1:8">
      <c r="A6" s="16"/>
    </row>
    <row r="7" spans="1:8">
      <c r="A7" s="16"/>
    </row>
    <row r="8" spans="1:8" ht="32">
      <c r="A8" s="99" t="s">
        <v>367</v>
      </c>
      <c r="B8" s="130" t="s">
        <v>532</v>
      </c>
      <c r="C8" s="130" t="s">
        <v>533</v>
      </c>
      <c r="E8" s="99" t="s">
        <v>426</v>
      </c>
      <c r="F8" s="130" t="s">
        <v>532</v>
      </c>
      <c r="G8" s="130" t="s">
        <v>533</v>
      </c>
      <c r="H8"/>
    </row>
    <row r="9" spans="1:8" ht="16">
      <c r="A9" s="204" t="s">
        <v>379</v>
      </c>
      <c r="B9" s="163">
        <f>(COUNT(STATUS))-C9</f>
        <v>4</v>
      </c>
      <c r="C9" s="153">
        <f>SUM(Legislation!E:E)</f>
        <v>8</v>
      </c>
      <c r="E9" s="166">
        <v>0</v>
      </c>
      <c r="F9" s="167">
        <f>COUNTIF('SUMMARY (Stage)'!B6:B10,"?*")+COUNTIF('SUMMARY (Stage)'!E6:E10,"?*")+COUNTIF('SUMMARY (Stage)'!H6:H10,"?*")+COUNTIF('SUMMARY (Stage)'!K6:K10,"?*")+COUNTIF('SUMMARY (Stage)'!N6:N10,"?*")+COUNTIF('SUMMARY (Stage)'!Q6:Q10,"?*")+COUNTIF('SUMMARY (Stage)'!T6:T10,"?*")</f>
        <v>3</v>
      </c>
      <c r="G9" s="167">
        <f>COUNTIF('SUMMARY (Stage)'!C6:C10,"?*")+COUNTIF('SUMMARY (Stage)'!F6:F10,"?*")+COUNTIF('SUMMARY (Stage)'!I6:I10,"?*")+COUNTIF('SUMMARY (Stage)'!L6:L10,"?*")+COUNTIF('SUMMARY (Stage)'!O6:O10,"?*")+COUNTIF('SUMMARY (Stage)'!R6:R10,"?*")+COUNTIF('SUMMARY (Stage)'!U6:U10,"?*")</f>
        <v>2</v>
      </c>
      <c r="H9"/>
    </row>
    <row r="10" spans="1:8">
      <c r="A10" s="214" t="s">
        <v>534</v>
      </c>
      <c r="B10" s="163"/>
      <c r="C10" s="153"/>
      <c r="E10" s="168" t="s">
        <v>541</v>
      </c>
      <c r="F10" s="169"/>
      <c r="G10" s="169"/>
      <c r="H10"/>
    </row>
    <row r="11" spans="1:8">
      <c r="A11" s="204"/>
      <c r="B11" s="163"/>
      <c r="C11" s="153"/>
      <c r="E11" s="169"/>
      <c r="F11" s="169"/>
      <c r="G11" s="169"/>
      <c r="H11"/>
    </row>
    <row r="12" spans="1:8" ht="16">
      <c r="A12" s="204" t="s">
        <v>400</v>
      </c>
      <c r="B12" s="163">
        <f>(COUNT(datastatus)-'SUMMARY (Score)'!C12)</f>
        <v>9</v>
      </c>
      <c r="C12" s="153">
        <f>SUM('Data coll &amp; ax'!E:E)</f>
        <v>0</v>
      </c>
      <c r="E12" s="170">
        <v>1</v>
      </c>
      <c r="F12" s="169">
        <f>COUNTIF('SUMMARY (Stage)'!B11:B19,"?*")+COUNTIF('SUMMARY (Stage)'!E11:E19,"?*")+COUNTIF('SUMMARY (Stage)'!H11:H19,"?*")+COUNTIF('SUMMARY (Stage)'!K11:K19,"?*")+COUNTIF('SUMMARY (Stage)'!N11:N19,"?*")+COUNTIF('SUMMARY (Stage)'!Q11:Q19,"?*")+COUNTIF('SUMMARY (Stage)'!T11:T19,"?*")</f>
        <v>21</v>
      </c>
      <c r="G12" s="169">
        <f>COUNTIF('SUMMARY (Stage)'!C11:C19,"?*")+COUNTIF('SUMMARY (Stage)'!F11:F19,"?*")+COUNTIF('SUMMARY (Stage)'!I11:I19,"?*")+COUNTIF('SUMMARY (Stage)'!L11:L19,"?*")+COUNTIF('SUMMARY (Stage)'!O11:O19,"?*")+COUNTIF('SUMMARY (Stage)'!R11:R19,"?*")+COUNTIF('SUMMARY (Stage)'!U11:U19,"?*")</f>
        <v>9</v>
      </c>
      <c r="H12"/>
    </row>
    <row r="13" spans="1:8">
      <c r="A13" s="214" t="s">
        <v>535</v>
      </c>
      <c r="B13" s="163"/>
      <c r="C13" s="153"/>
      <c r="E13" s="168" t="s">
        <v>542</v>
      </c>
      <c r="F13" s="169"/>
      <c r="G13" s="169"/>
      <c r="H13"/>
    </row>
    <row r="14" spans="1:8">
      <c r="A14" s="204"/>
      <c r="B14" s="163"/>
      <c r="C14" s="153"/>
      <c r="E14" s="169"/>
      <c r="F14" s="169"/>
      <c r="G14" s="169"/>
      <c r="H14"/>
    </row>
    <row r="15" spans="1:8" ht="16">
      <c r="A15" s="204" t="s">
        <v>413</v>
      </c>
      <c r="B15" s="163">
        <f>COUNT(labstatus)-'SUMMARY (Score)'!C15</f>
        <v>9</v>
      </c>
      <c r="C15" s="153">
        <f>SUM('Diagnostique lab'!E:E)</f>
        <v>1</v>
      </c>
      <c r="E15" s="170">
        <v>2</v>
      </c>
      <c r="F15" s="169">
        <f>COUNTIF('SUMMARY (Stage)'!B20:B28,"?*")+COUNTIF('SUMMARY (Stage)'!E20:E28,"?*")+COUNTIF('SUMMARY (Stage)'!H20:H28,"?*")+COUNTIF('SUMMARY (Stage)'!K20:K28,"?*")+COUNTIF('SUMMARY (Stage)'!N20:N28,"?*")+COUNTIF('SUMMARY (Stage)'!Q20:Q28,"?*")+COUNTIF('SUMMARY (Stage)'!T20:T28,"?*")</f>
        <v>18</v>
      </c>
      <c r="G15" s="169">
        <f>COUNTIF('SUMMARY (Stage)'!C20:C28,"?*")+COUNTIF('SUMMARY (Stage)'!F20:F28,"?*")+COUNTIF('SUMMARY (Stage)'!I20:I28,"?*")+COUNTIF('SUMMARY (Stage)'!L20:L28,"?*")+COUNTIF('SUMMARY (Stage)'!O20:O28,"?*")+COUNTIF('SUMMARY (Stage)'!R20:R28,"?*")+COUNTIF('SUMMARY (Stage)'!U20:U28,"?*")</f>
        <v>6</v>
      </c>
      <c r="H15"/>
    </row>
    <row r="16" spans="1:8">
      <c r="A16" s="214" t="s">
        <v>536</v>
      </c>
      <c r="B16" s="163"/>
      <c r="C16" s="153"/>
      <c r="E16" s="168" t="s">
        <v>543</v>
      </c>
      <c r="F16" s="169"/>
      <c r="G16" s="169"/>
      <c r="H16"/>
    </row>
    <row r="17" spans="1:8">
      <c r="A17" s="204"/>
      <c r="B17" s="163"/>
      <c r="C17" s="153"/>
      <c r="E17" s="169"/>
      <c r="F17" s="169"/>
      <c r="G17" s="169"/>
      <c r="H17"/>
    </row>
    <row r="18" spans="1:8" ht="32">
      <c r="A18" s="204" t="s">
        <v>430</v>
      </c>
      <c r="B18" s="163">
        <f>COUNT(iecstatus)-'SUMMARY (Score)'!C18</f>
        <v>18</v>
      </c>
      <c r="C18" s="153">
        <f>SUM(IEC!E:E)</f>
        <v>0</v>
      </c>
      <c r="E18" s="170">
        <v>3</v>
      </c>
      <c r="F18" s="169">
        <f>COUNTIF('SUMMARY (Stage)'!B29:B37,"?*")+COUNTIF('SUMMARY (Stage)'!E29:E37,"?*")+COUNTIF('SUMMARY (Stage)'!H29:H37,"?*")+COUNTIF('SUMMARY (Stage)'!K29:K37,"?*")+COUNTIF('SUMMARY (Stage)'!N29:N37,"?*")+COUNTIF('SUMMARY (Stage)'!Q29:Q37,"?*")+COUNTIF('SUMMARY (Stage)'!T29:T37,"?*")</f>
        <v>15</v>
      </c>
      <c r="G18" s="169">
        <f>COUNTIF('SUMMARY (Stage)'!C29:C37,"?*")+COUNTIF('SUMMARY (Stage)'!F29:F37,"?*")+COUNTIF('SUMMARY (Stage)'!I29:I37,"?*")+COUNTIF('SUMMARY (Stage)'!L29:L37,"?*")+COUNTIF('SUMMARY (Stage)'!O29:O37,"?*")+COUNTIF('SUMMARY (Stage)'!R29:R37,"?*")+COUNTIF('SUMMARY (Stage)'!U29:U37,"?*")</f>
        <v>4</v>
      </c>
      <c r="H18"/>
    </row>
    <row r="19" spans="1:8">
      <c r="A19" s="214" t="s">
        <v>537</v>
      </c>
      <c r="B19" s="163"/>
      <c r="C19" s="153"/>
      <c r="E19" s="168" t="s">
        <v>537</v>
      </c>
      <c r="F19" s="169"/>
      <c r="G19" s="169"/>
      <c r="H19"/>
    </row>
    <row r="20" spans="1:8">
      <c r="A20" s="204"/>
      <c r="B20" s="163"/>
      <c r="C20" s="153"/>
      <c r="E20" s="169"/>
      <c r="F20" s="169"/>
      <c r="G20" s="169"/>
      <c r="H20"/>
    </row>
    <row r="21" spans="1:8" ht="16">
      <c r="A21" s="204" t="s">
        <v>457</v>
      </c>
      <c r="B21" s="163">
        <f>COUNT(prevstatus)-'SUMMARY (Score)'!C21</f>
        <v>15</v>
      </c>
      <c r="C21" s="153">
        <f>SUM('Prev &amp; Ctrl'!E:E)</f>
        <v>10</v>
      </c>
      <c r="E21" s="170">
        <v>4</v>
      </c>
      <c r="F21" s="169">
        <f>COUNTIF('SUMMARY (Stage)'!B38:B46,"?*")+COUNTIF('SUMMARY (Stage)'!E38:E46,"?*")+COUNTIF('SUMMARY (Stage)'!H38:H46,"?*")+COUNTIF('SUMMARY (Stage)'!K38:K46,"?*")+COUNTIF('SUMMARY (Stage)'!N38:N46,"?*")+COUNTIF('SUMMARY (Stage)'!Q38:Q46,"?*")+COUNTIF('SUMMARY (Stage)'!T38:T46,"?*")</f>
        <v>7</v>
      </c>
      <c r="G21" s="169">
        <f>COUNTIF('SUMMARY (Stage)'!C38:C46,"?*")+COUNTIF('SUMMARY (Stage)'!F38:F46,"?*")+COUNTIF('SUMMARY (Stage)'!I38:I46,"?*")+COUNTIF('SUMMARY (Stage)'!L38:L46,"?*")+COUNTIF('SUMMARY (Stage)'!O38:O46,"?*")+COUNTIF('SUMMARY (Stage)'!R38:R46,"?*")+COUNTIF('SUMMARY (Stage)'!U38:U46,"?*")</f>
        <v>2</v>
      </c>
      <c r="H21"/>
    </row>
    <row r="22" spans="1:8">
      <c r="A22" s="214" t="s">
        <v>538</v>
      </c>
      <c r="B22" s="163"/>
      <c r="C22" s="153"/>
      <c r="E22" s="168" t="s">
        <v>544</v>
      </c>
      <c r="F22" s="169"/>
      <c r="G22" s="169"/>
      <c r="H22"/>
    </row>
    <row r="23" spans="1:8">
      <c r="A23" s="204"/>
      <c r="B23" s="153"/>
      <c r="C23" s="153"/>
      <c r="E23" s="169"/>
      <c r="F23" s="169"/>
      <c r="G23" s="169"/>
      <c r="H23"/>
    </row>
    <row r="24" spans="1:8" ht="32">
      <c r="A24" s="204" t="s">
        <v>515</v>
      </c>
      <c r="B24" s="163">
        <f>(COUNT(dogstatus)-'SUMMARY (Score)'!C24)</f>
        <v>2</v>
      </c>
      <c r="C24" s="153">
        <f>SUM('Dog popn'!E:E)</f>
        <v>1</v>
      </c>
      <c r="E24" s="170">
        <v>5</v>
      </c>
      <c r="F24" s="169">
        <f>COUNTIF('SUMMARY (Stage)'!B47:B55,"?*")+COUNTIF('SUMMARY (Stage)'!E47:E55,"?*")+COUNTIF('SUMMARY (Stage)'!H47:H55,"?*")+COUNTIF('SUMMARY (Stage)'!K47:K55,"?*")+COUNTIF('SUMMARY (Stage)'!N47:N55,"?*")+COUNTIF('SUMMARY (Stage)'!Q47:Q55,"?*")+COUNTIF('SUMMARY (Stage)'!T47:T55,"?*")</f>
        <v>4</v>
      </c>
      <c r="G24" s="169">
        <f>COUNTIF('SUMMARY (Stage)'!C41:C49,"?*")+COUNTIF('SUMMARY (Stage)'!F41:F49,"?*")+COUNTIF('SUMMARY (Stage)'!I41:I49,"?*")+COUNTIF('SUMMARY (Stage)'!L41:L49,"?*")+COUNTIF('SUMMARY (Stage)'!O41:O49,"?*")+COUNTIF('SUMMARY (Stage)'!R41:R49,"?*")+COUNTIF('SUMMARY (Stage)'!U41:U49,"?*")</f>
        <v>1</v>
      </c>
      <c r="H24"/>
    </row>
    <row r="25" spans="1:8">
      <c r="A25" s="214" t="s">
        <v>539</v>
      </c>
      <c r="B25" s="163"/>
      <c r="C25" s="153"/>
      <c r="E25" s="171" t="s">
        <v>545</v>
      </c>
      <c r="F25" s="172"/>
      <c r="G25" s="172"/>
      <c r="H25"/>
    </row>
    <row r="26" spans="1:8">
      <c r="A26" s="204"/>
      <c r="B26" s="163"/>
      <c r="C26" s="153"/>
      <c r="F26" s="165"/>
      <c r="H26"/>
    </row>
    <row r="27" spans="1:8" ht="16">
      <c r="A27" s="204" t="s">
        <v>494</v>
      </c>
      <c r="B27" s="163">
        <f>COUNT(crossstatus)-'SUMMARY (Score)'!C27</f>
        <v>11</v>
      </c>
      <c r="C27" s="153">
        <f>SUM('Questions transversales'!E:E)</f>
        <v>4</v>
      </c>
      <c r="F27" s="165"/>
      <c r="H27"/>
    </row>
    <row r="28" spans="1:8">
      <c r="A28" s="215" t="s">
        <v>540</v>
      </c>
      <c r="B28" s="164"/>
      <c r="C28" s="154"/>
      <c r="F28" s="165"/>
      <c r="H28"/>
    </row>
    <row r="29" spans="1:8">
      <c r="B29" s="152"/>
      <c r="F29" s="165"/>
      <c r="H29"/>
    </row>
    <row r="30" spans="1:8">
      <c r="F30" s="165"/>
      <c r="H30"/>
    </row>
  </sheetData>
  <sheetCalcPr fullCalcOnLoad="1"/>
  <sheetProtection sheet="1" objects="1" scenarios="1"/>
  <mergeCells count="2">
    <mergeCell ref="E1:G1"/>
    <mergeCell ref="E2:G2"/>
  </mergeCells>
  <pageMargins left="0.41" right="0.2" top="0.5" bottom="0.5" header="0.3" footer="0.3"/>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55"/>
  <sheetViews>
    <sheetView zoomScaleNormal="100" workbookViewId="0">
      <pane xSplit="1" ySplit="5" topLeftCell="C74" activePane="bottomRight" state="frozen"/>
      <selection pane="topRight" activeCell="B1" sqref="B1"/>
      <selection pane="bottomLeft" activeCell="A5" sqref="A5"/>
      <selection pane="bottomRight" activeCell="C77" sqref="C77"/>
    </sheetView>
  </sheetViews>
  <sheetFormatPr baseColWidth="10" defaultColWidth="9.1640625" defaultRowHeight="15"/>
  <cols>
    <col min="1" max="1" width="9.1640625" style="149"/>
    <col min="2" max="3" width="30.5" style="15" customWidth="1"/>
    <col min="4" max="4" width="24.33203125" style="60" hidden="1" customWidth="1"/>
    <col min="5" max="6" width="30.5" style="15" customWidth="1"/>
    <col min="7" max="7" width="24.33203125" style="15" hidden="1" customWidth="1"/>
    <col min="8" max="9" width="30.5" style="15" customWidth="1"/>
    <col min="10" max="10" width="24.33203125" style="15" hidden="1" customWidth="1"/>
    <col min="11" max="12" width="30.5" style="15" customWidth="1"/>
    <col min="13" max="13" width="24.33203125" style="15" hidden="1" customWidth="1"/>
    <col min="14" max="15" width="30.5" style="15" customWidth="1"/>
    <col min="16" max="16" width="24.33203125" style="15" hidden="1" customWidth="1"/>
    <col min="17" max="18" width="30.5" style="15" customWidth="1"/>
    <col min="19" max="19" width="24.33203125" style="15" hidden="1" customWidth="1"/>
    <col min="20" max="21" width="30.5" style="15" customWidth="1"/>
    <col min="22" max="16384" width="9.1640625" style="15"/>
  </cols>
  <sheetData>
    <row r="1" spans="1:21" ht="19">
      <c r="A1" s="105" t="s">
        <v>516</v>
      </c>
      <c r="E1" s="156" t="str">
        <f>IF(ISBLANK('Country profile'!E4:I4),"",UPPER('Country profile'!E4:I4))</f>
        <v>BENIN</v>
      </c>
      <c r="F1" s="157">
        <f>IF(ISBLANK('Country profile'!F14:I14),"",'Country profile'!F14:I14)</f>
        <v>42183</v>
      </c>
    </row>
    <row r="2" spans="1:21">
      <c r="A2" s="16" t="s">
        <v>517</v>
      </c>
    </row>
    <row r="4" spans="1:21">
      <c r="A4" s="240" t="s">
        <v>426</v>
      </c>
      <c r="B4" s="242" t="s">
        <v>379</v>
      </c>
      <c r="C4" s="243"/>
      <c r="D4" s="88"/>
      <c r="E4" s="242" t="s">
        <v>400</v>
      </c>
      <c r="F4" s="243"/>
      <c r="G4" s="89"/>
      <c r="H4" s="242" t="s">
        <v>413</v>
      </c>
      <c r="I4" s="243"/>
      <c r="J4" s="89"/>
      <c r="K4" s="242" t="s">
        <v>430</v>
      </c>
      <c r="L4" s="243"/>
      <c r="M4" s="195"/>
      <c r="N4" s="242" t="s">
        <v>457</v>
      </c>
      <c r="O4" s="243"/>
      <c r="P4" s="89"/>
      <c r="Q4" s="242" t="s">
        <v>490</v>
      </c>
      <c r="R4" s="243"/>
      <c r="S4" s="89"/>
      <c r="T4" s="242" t="s">
        <v>494</v>
      </c>
      <c r="U4" s="243"/>
    </row>
    <row r="5" spans="1:21" s="37" customFormat="1">
      <c r="A5" s="241"/>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60">
      <c r="A6" s="150">
        <v>0</v>
      </c>
      <c r="B6" s="131" t="str">
        <f t="array" ref="B6">IF(ROWS(B$6:B6)&lt;=$A$7,INDEX(Legislation!$C$5:$C$16,SMALL(IF(STAGE=0,IF(STATUS=0,ROW(STATUS)-ROW(Legislation!$E$5)+1)),ROWS(B$6:B6))),"")</f>
        <v>Une définition nationale d’un cas de rage humaine est disponible</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Plusieurs rage échantillon suspect de santé humaine ou animale est soumise à un laboratoire international de référence de la rage pour la confirmation</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Les résultats des échantillons de rage sont partagés de façon appropriée avec les autorités locales et nationales</v>
      </c>
      <c r="L6" s="85" t="str">
        <f t="array" ref="L6">IF(ROWS(L$6:L6)&lt;=$J$8,INDEX(IEC!$C$5:$C$22,SMALL(IF(iecstage=0,IF(iecstatus=1,ROW(iecstatus)-ROW(IEC!$E$5)+1)),ROWS(L$6:L6))),"")</f>
        <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c r="A7" s="140">
        <f>SUMPRODUCT((STAGE=0)*(STATUS=0))</f>
        <v>1</v>
      </c>
      <c r="B7" s="132" t="str">
        <f t="array" ref="B7">IF(ROWS(B$6:B7)&lt;=$A$7,INDEX(Legislation!$C$5:$C$16,SMALL(IF(STAGE=0,IF(STATUS=0,ROW(STATUS)-ROW(Legislation!$E$5)+1)),ROWS(B$6:B7))),"")</f>
        <v/>
      </c>
      <c r="C7" s="86" t="str">
        <f t="array" ref="C7">IF(ROWS(C$6:C7)&lt;=$A$8,INDEX(Legislation!$C$5:$C$16,SMALL(IF(STAGE=0,IF(STATUS=1,ROW(STATUS)-ROW(Legislation!$E$5)+1)),ROWS(C$6:C7))),"")</f>
        <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1</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
      </c>
      <c r="J7" s="53">
        <f>SUMPRODUCT((iecstage=0)*(iecstatus=0))</f>
        <v>1</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c r="A8" s="140">
        <f>SUMPRODUCT((STAGE=0)*(STATUS=1))</f>
        <v>1</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1</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0</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60">
      <c r="A11" s="150">
        <v>1</v>
      </c>
      <c r="B11" s="135" t="str">
        <f t="array" ref="B11">IF(ROWS(B$11:B11)&lt;=$A$12,INDEX(Legislation!$C$5:$C$16,SMALL(IF(STAGE=1,IF(STATUS=0,ROW(STATUS)-ROW(Legislation!$E$5)+1)),ROWS(B$11:B11))),"")</f>
        <v xml:space="preserve">La législation inclut les propriétaires de chiens et la vaccination obligatoire contre la rage </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Signalant de la rage canine du niveau local au niveau national et de la capacité d'analyse des données au niveau national a été établi</v>
      </c>
      <c r="F11" s="85" t="str">
        <f t="array" ref="F11">IF(ROWS(F$11:F11)&lt;=$D$13,INDEX('Data coll &amp; ax'!$C$5:$C$13,SMALL(IF(datastage=1,IF(datastatus=1,ROW(datastatus)-ROW('Data coll &amp; ax'!$E$5)+1)),ROWS(F$11:F11))),"")</f>
        <v/>
      </c>
      <c r="G11" s="50"/>
      <c r="H11" s="136" t="str">
        <f t="array" ref="H11">IF(ROWS(H$11:H11)&lt;=$G$12,INDEX('Diagnostique lab'!$C$5:$C$14,SMALL(IF(labstage=1,IF(labstatus=0,ROW(labstatus)-ROW('Diagnostique lab'!$E$5)+1)),ROWS(H$11:H11))),"")</f>
        <v>La capacité de diagnostic de la rage a été établi dans au moins un laboratoire national</v>
      </c>
      <c r="I11" s="49" t="str">
        <f t="array" ref="I11">IF(ROWS(I$11:I11)&lt;=$G$13,INDEX('Diagnostique lab'!$C$5:$C$14,SMALL(IF(labstage=1,IF(labstatus=1,ROW(labstatus)-ROW('Diagnostique lab'!$F$5)+1)),ROWS(I$11:I11))),"")</f>
        <v/>
      </c>
      <c r="J11" s="50"/>
      <c r="K11" s="131" t="str">
        <f t="array" ref="K11">IF(ROWS(K$11:K11)&lt;=$J$12,INDEX(IEC!$C$5:$C$22,SMALL(IF(iecstage=1,IF(iecstatus=0,ROW(iecstatus)-ROW(IEC!$E$5)+1)),ROWS(K$11:K11))),"")</f>
        <v>Des études sur 'Knowledge, Attitude and Practice (KAP survey)' sur la rage ont été menées dans des zones pilotes</v>
      </c>
      <c r="L11" s="85" t="str">
        <f t="array" ref="L11">IF(ROWS(L$11:L11)&lt;=$J$13,INDEX(IEC!$C$5:$C$22,SMALL(IF(iecstage=1,IF(iecstatus=1,ROW(iecstatus)-ROW(IEC!$E$5)+1)),ROWS(L$11:L11))),"")</f>
        <v/>
      </c>
      <c r="M11" s="56"/>
      <c r="N11" s="136" t="str">
        <f t="array" ref="N11">IF(ROWS(N$11:N11)&lt;=$M$12,INDEX('Prev &amp; Ctrl'!$C$5:$C$29,SMALL(IF(prevstage=1,IF(prevstatus=0,ROW(prevstatus)-ROW('Prev &amp; Ctrl'!$E$5)+1)),ROWS(N$11:N11))),"")</f>
        <v>Vaccins et produits biologiques pour la prophylaxie de la rage humaine sont disponibles dans le pays</v>
      </c>
      <c r="O11" s="49" t="str">
        <f t="array" ref="O11">IF(ROWS(O$11:O11)&lt;=$M$13,INDEX('Prev &amp; Ctrl'!$C$5:$C$29,SMALL(IF(prevstage=1,IF(prevstatus=1,ROW(prevstatus)-ROW('Prev &amp; Ctrl'!$E$5)+1)),ROWS(O$11:O11))),"")</f>
        <v>Dog vaccins antirabiques disponibles et l'accès a été réduite jusqu'à</v>
      </c>
      <c r="P11" s="50"/>
      <c r="Q11" s="131" t="str">
        <f t="array" ref="Q11">IF(ROWS(Q$11:Q11)&lt;=$P$12,INDEX('Dog popn'!$C$5:C12,SMALL(IF(dogstage=1,IF(dogstatus=0,ROW(dogstatus)-ROW('Dog popn'!$E$5)+1)),ROWS(Q$11:Q11))),"")</f>
        <v>Dog études de population pour déterminer la taille , le retournement du produit et l'accessibilité ont été menées dans des zones pilotes</v>
      </c>
      <c r="R11" s="85" t="str">
        <f t="array" ref="R11">IF(ROWS(R$11:R11)&lt;=$P$13,INDEX('Dog popn'!$C$5:$C$7,SMALL(IF(dogstage=1,IF(dogstatus=1,ROW(dogstatus)-ROW('Dog popn'!$E$5)+1)),ROWS(R$11:R11))),"")</f>
        <v/>
      </c>
      <c r="S11" s="50"/>
      <c r="T11" s="136" t="str">
        <f t="array" ref="T11">IF(ROWS(T$11:T11)&lt;=$S$12,INDEX('Questions transversales'!$C$5:$C$19,SMALL(IF(crossstage=1,IF(crossstatus=0,ROW(crossstatus)-ROW('Questions transversales'!$E$5)+1)),ROWS(T$11:T11))),"")</f>
        <v xml:space="preserve">Basée sur l’expérience de zones pilotes, un plan d’action contre la rage à court terme a été élaboré et endossé par des acteurs concernés au niveau local et national </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5">
      <c r="A12" s="143">
        <f>SUMPRODUCT((STAGE=1)*(STATUS=0))</f>
        <v>2</v>
      </c>
      <c r="B12" s="135" t="str">
        <f t="array" ref="B12">IF(ROWS(B$11:B12)&lt;=$A$12,INDEX(Legislation!$C$5:$C$16,SMALL(IF(STAGE=1,IF(STATUS=0,ROW(STATUS)-ROW(Legislation!$E$5)+1)),ROWS(B$11:B12))),"")</f>
        <v>La legislation inclut des procédures opérationelles standards/permanentes (SOPs) à propos des déclarations et de la réponse aux foyers</v>
      </c>
      <c r="C12" s="86" t="str">
        <f t="array" ref="C12">IF(ROWS(C$11:C12)&lt;=$A$13,INDEX(Legislation!$C$5:$C$16,SMALL(IF(STAGE=1,IF(STATUS=1,ROW(STATUS)-ROW(Legislation!$E$5)+1)),ROWS(C$11:C12))),"")</f>
        <v>La définition de cas de rage humaine a été diffusé aux professionnels concernés</v>
      </c>
      <c r="D12" s="59">
        <f>SUMPRODUCT((datastage=1)*(datastatus=0))</f>
        <v>3</v>
      </c>
      <c r="E12" s="133" t="str">
        <f t="array" ref="E12">IF(ROWS(E$11:E12)&lt;=$D$12,INDEX('Data coll &amp; ax'!$C$5:$C$13,SMALL(IF(datastage=1,IF(datastatus=0,ROW(datastatus)-ROW('Data coll &amp; ax'!$E$5)+1)),ROWS(E$11:E12))),"")</f>
        <v>Signalant de la rage humaine du niveau local au niveau national et de la capacité d'analyse des données au niveau national a été établi</v>
      </c>
      <c r="F12" s="86" t="str">
        <f t="array" ref="F12">IF(ROWS(F$11:F12)&lt;=$D$13,INDEX('Data coll &amp; ax'!$C$5:$C$13,SMALL(IF(datastage=1,IF(datastatus=1,ROW(datastatus)-ROW('Data coll &amp; ax'!$E$5)+1)),ROWS(F$11:F12))),"")</f>
        <v/>
      </c>
      <c r="G12" s="53">
        <f>SUMPRODUCT((labstage=1)*(labstatus=0))</f>
        <v>1</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8</v>
      </c>
      <c r="K12" s="133" t="str">
        <f t="array" ref="K12">IF(ROWS(K$11:K12)&lt;=$J$12,INDEX(IEC!$C$5:$C$22,SMALL(IF(iecstage=1,IF(iecstatus=0,ROW(iecstatus)-ROW(IEC!$E$5)+1)),ROWS(K$11:K12))),"")</f>
        <v>Un plan de communication de la rage a été développé</v>
      </c>
      <c r="L12" s="86" t="str">
        <f t="array" ref="L12">IF(ROWS(L$11:L12)&lt;=$J$13,INDEX(IEC!$C$5:$C$22,SMALL(IF(iecstage=1,IF(iecstatus=1,ROW(iecstatus)-ROW(IEC!$E$5)+1)),ROWS(L$11:L12))),"")</f>
        <v/>
      </c>
      <c r="M12" s="57">
        <f>SUMPRODUCT((prevstage=1)*(prevstatus=0))</f>
        <v>4</v>
      </c>
      <c r="N12" s="137" t="str">
        <f t="array" ref="N12">IF(ROWS(N$11:N12)&lt;=$M$12,INDEX('Prev &amp; Ctrl'!$C$5:$C$29,SMALL(IF(prevstage=1,IF(prevstatus=0,ROW(prevstatus)-ROW('Prev &amp; Ctrl'!$E$5)+1)),ROWS(N$11:N12))),"")</f>
        <v>Répartition des centres de traitement de la rage fonctionnels dans le pays ( par exemple, nombre d'enregistrement des patients par jour , le nombre de doses actuellement utilisé )</v>
      </c>
      <c r="O12" s="52" t="str">
        <f t="array" ref="O12">IF(ROWS(O$11:O12)&lt;=$M$13,INDEX('Prev &amp; Ctrl'!$C$5:$C$29,SMALL(IF(prevstage=1,IF(prevstatus=1,ROW(prevstatus)-ROW('Prev &amp; Ctrl'!$E$5)+1)),ROWS(O$11:O12))),"")</f>
        <v/>
      </c>
      <c r="P12" s="53">
        <f>SUMPRODUCT((dogstage=1)*(dogstatus=0))</f>
        <v>1</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2</v>
      </c>
      <c r="T12" s="137" t="str">
        <f t="array" ref="T12">IF(ROWS(T$11:T12)&lt;=$S$12,INDEX('Questions transversales'!$C$5:$C$19,SMALL(IF(crossstage=1,IF(crossstatus=0,ROW(crossstatus)-ROW('Questions transversales'!$E$5)+1)),ROWS(T$11:T12))),"")</f>
        <v>Des mechanisms pour mobiliser des fonds en urgence en cas de foyer ont été identifiés</v>
      </c>
      <c r="U12" s="52" t="str">
        <f t="array" ref="U12">IF(ROWS(U$11:U12)&lt;=$S$13,INDEX('Questions transversales'!$C$5:$C$19,SMALL(IF(crossstage=1,IF(crossstatus=1,ROW(crossstatus)-ROW('Questions transversales'!$E$5)+1)),ROWS(U$11:U12))),"")</f>
        <v>Des consultations des acteurs ont été tenues</v>
      </c>
    </row>
    <row r="13" spans="1:21" s="51" customFormat="1" ht="45">
      <c r="A13" s="143">
        <f>SUMPRODUCT((STAGE=1)*(STATUS=1))</f>
        <v>5</v>
      </c>
      <c r="B13" s="135" t="str">
        <f t="array" ref="B13">IF(ROWS(B$11:B13)&lt;=$A$12,INDEX(Legislation!$C$5:$C$16,SMALL(IF(STAGE=1,IF(STATUS=0,ROW(STATUS)-ROW(Legislation!$E$5)+1)),ROWS(B$11:B13))),"")</f>
        <v/>
      </c>
      <c r="C13" s="86" t="str">
        <f t="array" ref="C13">IF(ROWS(C$11:C13)&lt;=$A$13,INDEX(Legislation!$C$5:$C$16,SMALL(IF(STAGE=1,IF(STATUS=1,ROW(STATUS)-ROW(Legislation!$E$5)+1)),ROWS(C$11:C13))),"")</f>
        <v>Il y a un cadre légal.</v>
      </c>
      <c r="D13" s="59">
        <f>SUMPRODUCT((datastage=1)*(datastatus=1))</f>
        <v>0</v>
      </c>
      <c r="E13" s="133" t="str">
        <f t="array" ref="E13">IF(ROWS(E$11:E13)&lt;=$D$12,INDEX('Data coll &amp; ax'!$C$5:$C$13,SMALL(IF(datastage=1,IF(datastatus=0,ROW(datastatus)-ROW('Data coll &amp; ax'!$E$5)+1)),ROWS(E$11:E13))),"")</f>
        <v>L'exposition de la rage ( morsure de chien ) rapports et de documentation ont été étudiés et les données compilées</v>
      </c>
      <c r="F13" s="86" t="str">
        <f t="array" ref="F13">IF(ROWS(F$11:F13)&lt;=$D$13,INDEX('Data coll &amp; ax'!$C$5:$C$13,SMALL(IF(datastage=1,IF(datastatus=1,ROW(datastatus)-ROW('Data coll &amp; ax'!$E$5)+1)),ROWS(F$11:F13))),"")</f>
        <v/>
      </c>
      <c r="G13" s="53">
        <f>SUMPRODUCT((labstage=1)*(labstatus=1))</f>
        <v>0</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0</v>
      </c>
      <c r="K13" s="133" t="str">
        <f t="array" ref="K13">IF(ROWS(K$11:K13)&lt;=$J$12,INDEX(IEC!$C$5:$C$22,SMALL(IF(iecstage=1,IF(iecstatus=0,ROW(iecstatus)-ROW(IEC!$E$5)+1)),ROWS(K$11:K13))),"")</f>
        <v>Des campagnes de sensibilisation ont été lancées</v>
      </c>
      <c r="L13" s="86" t="str">
        <f t="array" ref="L13">IF(ROWS(L$11:L13)&lt;=$J$13,INDEX(IEC!$C$5:$C$22,SMALL(IF(iecstage=1,IF(iecstatus=1,ROW(iecstatus)-ROW(IEC!$E$5)+1)),ROWS(L$11:L13))),"")</f>
        <v/>
      </c>
      <c r="M13" s="57">
        <f>SUMPRODUCT((prevstage=1)*(prevstatus=1))</f>
        <v>1</v>
      </c>
      <c r="N13" s="137" t="str">
        <f t="array" ref="N13">IF(ROWS(N$11:N13)&lt;=$M$12,INDEX('Prev &amp; Ctrl'!$C$5:$C$29,SMALL(IF(prevstage=1,IF(prevstatus=0,ROW(prevstatus)-ROW('Prev &amp; Ctrl'!$E$5)+1)),ROWS(N$11:N13))),"")</f>
        <v>Organisation des activités de contrôle de la rage ( au moins dans les zones pilotes ) ont été menées</v>
      </c>
      <c r="O13" s="52" t="str">
        <f t="array" ref="O13">IF(ROWS(O$11:O13)&lt;=$M$13,INDEX('Prev &amp; Ctrl'!$C$5:$C$29,SMALL(IF(prevstage=1,IF(prevstatus=1,ROW(prevstatus)-ROW('Prev &amp; Ctrl'!$E$5)+1)),ROWS(O$11:O13))),"")</f>
        <v/>
      </c>
      <c r="P13" s="53">
        <f>SUMPRODUCT((dogstage=1)*(dogstatus=1))</f>
        <v>0</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3</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Un groupe de travail, une task force ou un comité intersectoriel sur la rage est établi</v>
      </c>
    </row>
    <row r="14" spans="1:21" s="51" customFormat="1" ht="60">
      <c r="A14" s="144"/>
      <c r="B14" s="135" t="str">
        <f t="array" ref="B14">IF(ROWS(B$11:B14)&lt;=$A$12,INDEX(Legislation!$C$5:$C$16,SMALL(IF(STAGE=1,IF(STATUS=0,ROW(STATUS)-ROW(Legislation!$E$5)+1)),ROWS(B$11:B14))),"")</f>
        <v/>
      </c>
      <c r="C14" s="86" t="str">
        <f t="array" ref="C14">IF(ROWS(C$11:C14)&lt;=$A$13,INDEX(Legislation!$C$5:$C$16,SMALL(IF(STAGE=1,IF(STATUS=1,ROW(STATUS)-ROW(Legislation!$E$5)+1)),ROWS(C$11:C14))),"")</f>
        <v xml:space="preserve">Si il ya un cadre légal, le cadre a été examiné en termes de comment il est courant  </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Education sur la prévention et le contrôle des communautés, y compris la prévention et la gestion des morsures de chien morsure de chien rage ont été explorées</v>
      </c>
      <c r="L14" s="86" t="str">
        <f t="array" ref="L14">IF(ROWS(L$11:L14)&lt;=$J$13,INDEX(IEC!$C$5:$C$22,SMALL(IF(iecstage=1,IF(iecstatus=1,ROW(iecstatus)-ROW(IEC!$E$5)+1)),ROWS(L$11:L14))),"")</f>
        <v/>
      </c>
      <c r="M14" s="57"/>
      <c r="N14" s="137" t="str">
        <f t="array" ref="N14">IF(ROWS(N$11:N14)&lt;=$M$12,INDEX('Prev &amp; Ctrl'!$C$5:$C$29,SMALL(IF(prevstage=1,IF(prevstatus=0,ROW(prevstatus)-ROW('Prev &amp; Ctrl'!$E$5)+1)),ROWS(N$11:N14))),"")</f>
        <v>Protocoles pour une action coordonnée sur les foyers signalés ont été élaborés</v>
      </c>
      <c r="O14" s="52" t="str">
        <f t="array" ref="O14">IF(ROWS(O$11:O14)&lt;=$M$13,INDEX('Prev &amp; Ctrl'!$C$5:$C$29,SMALL(IF(prevstage=1,IF(prevstatus=1,ROW(prevstatus)-ROW('Prev &amp; Ctrl'!$E$5)+1)),ROWS(O$11:O14))),"")</f>
        <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c>
    </row>
    <row r="15" spans="1:21" s="51" customFormat="1" ht="45">
      <c r="A15" s="144"/>
      <c r="B15" s="135" t="str">
        <f t="array" ref="B15">IF(ROWS(B$11:B15)&lt;=$A$12,INDEX(Legislation!$C$5:$C$16,SMALL(IF(STAGE=1,IF(STATUS=0,ROW(STATUS)-ROW(Legislation!$E$5)+1)),ROWS(B$11:B15))),"")</f>
        <v/>
      </c>
      <c r="C15" s="86" t="str">
        <f t="array" ref="C15">IF(ROWS(C$11:C15)&lt;=$A$13,INDEX(Legislation!$C$5:$C$16,SMALL(IF(STAGE=1,IF(STATUS=1,ROW(STATUS)-ROW(Legislation!$E$5)+1)),ROWS(C$11:C15))),"")</f>
        <v> La rage est une maladie à declaration obligatoire chez les humains et les animaux dans le cadre</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La vaccination des chiens domestiques est promue et menée</v>
      </c>
      <c r="L15" s="86" t="str">
        <f t="array" ref="L15">IF(ROWS(L$11:L15)&lt;=$J$13,INDEX(IEC!$C$5:$C$22,SMALL(IF(iecstage=1,IF(iecstatus=1,ROW(iecstatus)-ROW(IEC!$E$5)+1)),ROWS(L$11:L15))),"")</f>
        <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ht="45">
      <c r="A16" s="144"/>
      <c r="B16" s="135" t="str">
        <f t="array" ref="B16">IF(ROWS(B$11:B16)&lt;=$A$12,INDEX(Legislation!$C$5:$C$16,SMALL(IF(STAGE=1,IF(STATUS=0,ROW(STATUS)-ROW(Legislation!$E$5)+1)),ROWS(B$11:B16))),"")</f>
        <v/>
      </c>
      <c r="C16" s="86" t="str">
        <f t="array" ref="C16">IF(ROWS(C$11:C16)&lt;=$A$13,INDEX(Legislation!$C$5:$C$16,SMALL(IF(STAGE=1,IF(STATUS=1,ROW(STATUS)-ROW(Legislation!$E$5)+1)),ROWS(C$11:C16))),"")</f>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Propriétaires responsables de chiens et de vaccination des chiens appartenant à deux et sans maître ont été promus</v>
      </c>
      <c r="L16" s="86" t="str">
        <f t="array" ref="L16">IF(ROWS(L$11:L16)&lt;=$J$13,INDEX(IEC!$C$5:$C$22,SMALL(IF(iecstage=1,IF(iecstatus=1,ROW(iecstatus)-ROW(IEC!$E$5)+1)),ROWS(L$11:L16))),"")</f>
        <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ht="30">
      <c r="A17" s="144"/>
      <c r="B17" s="135" t="str">
        <f t="array" ref="B17">IF(ROWS(B$11:B17)&lt;=$A$12,INDEX(Legislation!$C$5:$C$16,SMALL(IF(STAGE=1,IF(STATUS=0,ROW(STATUS)-ROW(Legislation!$E$5)+1)),ROWS(B$11:B17))),"")</f>
        <v/>
      </c>
      <c r="C17" s="86" t="str">
        <f t="array" ref="C17">IF(ROWS(C$11:C17)&lt;=$A$13,INDEX(Legislation!$C$5:$C$16,SMALL(IF(STAGE=1,IF(STATUS=1,ROW(STATUS)-ROW(Legislation!$E$5)+1)),ROWS(C$11:C17))),"")</f>
        <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Sensibilisation des leaders communautaires et les autorités ont été lancées</v>
      </c>
      <c r="L17" s="86" t="str">
        <f t="array" ref="L17">IF(ROWS(L$11:L17)&lt;=$J$13,INDEX(IEC!$C$5:$C$22,SMALL(IF(iecstage=1,IF(iecstatus=1,ROW(iecstatus)-ROW(IEC!$E$5)+1)),ROWS(L$11:L17))),"")</f>
        <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ht="60">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Les plans pour la formation des formateurs , des cours de recyclage sur la rage pour les professionnels de la santé humaine et animale ont été développés</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75">
      <c r="A20" s="150">
        <v>2</v>
      </c>
      <c r="B20" s="131" t="str">
        <f t="array" ref="B20">IF(ROWS(B$20:B20)&lt;=$A$21,INDEX(Legislation!$C$5:$C$16,SMALL(IF(STAGE=2,IF(STATUS=0,ROW(STATUS)-ROW(Legislation!$E$5)+1)),ROWS(B$20:B20))),"")</f>
        <v>Les cadres légal sont en train d'être mis à jour pour inclure des spécifications sur les mouvements internationaux d'animaux , de préférence vaccination obligatoire des chiens aussi</v>
      </c>
      <c r="C20" s="85" t="str">
        <f t="array" ref="C20">IF(ROWS(C$20:C20)&lt;=$A$22,INDEX(Legislation!$C$5:$C$16,SMALL(IF(STAGE=2,IF(STATUS=1,ROW(STATUS)-ROW(Legislation!$E$5)+1)),ROWS(C$20:C20))),"")</f>
        <v>La définition de cas de rage animale a été examiné et a été approuvé ( approche intersectorielle )</v>
      </c>
      <c r="D20" s="61"/>
      <c r="E20" s="131" t="str">
        <f t="array" ref="E20">IF(ROWS(E$20:E20)&lt;=$D$21,INDEX('Data coll &amp; ax'!$C$5:$C$13,SMALL(IF(datastage=2,IF(datastatus=0,ROW(datastatus)-ROW('Data coll &amp; ax'!$E$5)+1)),ROWS(E$20:E20))),"")</f>
        <v>Systèmes de surveillance de la rage coordonnés couvrant l'ensemble du pays ont été établis , y compris les SOPs convenus</v>
      </c>
      <c r="F20" s="85" t="str">
        <f t="array" ref="F20">IF(ROWS(F$20:F20)&lt;=$D$22,INDEX('Data coll &amp; ax'!$C$5:$C$13,SMALL(IF(datastage=2,IF(datastatus=1,ROW(datastatus)-ROW('Data coll &amp; ax'!$E$5)+1)),ROWS(F$20:F20))),"")</f>
        <v/>
      </c>
      <c r="G20" s="50"/>
      <c r="H20" s="136" t="str">
        <f t="array" ref="H20">IF(ROWS(H$20:H20)&lt;=$G$21,INDEX('Diagnostique lab'!$C$5:$C$14,SMALL(IF(labstage=2,IF(labstatus=0,ROW(labstatus)-ROW('Diagnostique lab'!$E$5)+1)),ROWS(H$20:H20))),"")</f>
        <v>Capacité pour confirmation du diagnostic de la rage dans au moins un laboratoire du pays a été établi</v>
      </c>
      <c r="I20" s="49" t="str">
        <f t="array" ref="I20">IF(ROWS(I$20:I20)&lt;=$G$22,INDEX('Diagnostique lab'!$C$5:$C$14,SMALL(IF(labstage=2,IF(labstatus=1,ROW(labstatus)-ROW('Diagnostique lab'!$F$5)+1)),ROWS(I$20:I20))),"")</f>
        <v/>
      </c>
      <c r="J20" s="50"/>
      <c r="K20" s="131" t="str">
        <f t="array" ref="K20">IF(ROWS(K$20:K20)&lt;=$J$21,INDEX(IEC!$C$5:$C$22,SMALL(IF(iecstage=2,IF(iecstatus=0,ROW(iecstatus)-ROW(IEC!$E$5)+1)),ROWS(K$20:K20))),"")</f>
        <v>Un mécanisme de notification et de feedback entre toutes les parties prenantes (à la fois locales et nationales , humaine et animale des bureaux de santé ) a été établi</v>
      </c>
      <c r="L20" s="85" t="str">
        <f t="array" ref="L20">IF(ROWS(L$20:L20)&lt;=$J$22,INDEX(IEC!$C$5:$C$22,SMALL(IF(iecstage=2,IF(iecstatus=1,ROW(iecstatus)-ROW(IEC!$E$5)+1)),ROWS(L$20:L20))),"")</f>
        <v/>
      </c>
      <c r="M20" s="56"/>
      <c r="N20" s="136" t="str">
        <f t="array" ref="N20">IF(ROWS(N$20:N20)&lt;=$M$21,INDEX('Prev &amp; Ctrl'!$C$5:$C$29,SMALL(IF(prevstage=2,IF(prevstatus=0,ROW(prevstatus)-ROW('Prev &amp; Ctrl'!$E$5)+1)),ROWS(N$20:N20))),"")</f>
        <v>Biologiques huamins ont été mis à disposition et accessible à la plupart des régions du pays</v>
      </c>
      <c r="O20" s="49" t="str">
        <f t="array" ref="O20">IF(ROWS(O$20:O20)&lt;=$M$22,INDEX('Prev &amp; Ctrl'!$C$5:$C$29,SMALL(IF(prevstage=2,IF(prevstatus=1,ROW(prevstatus)-ROW('Prev &amp; Ctrl'!$E$5)+1)),ROWS(O$20:O20))),"")</f>
        <v>Abandon des vaccins produits sur tissus animaux</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 xml:space="preserve">Rôle du secteur privé a été expliqué plus en détail </v>
      </c>
      <c r="U20" s="49" t="str">
        <f t="array" ref="U20">IF(ROWS(U$20:U20)&lt;=$S$22,INDEX('Questions transversales'!$C$5:$C$19,SMALL(IF(crossstage=2,IF(crossstatus=1,ROW(crossstatus)-ROW('Questions transversales'!$E$5)+1)),ROWS(U$20:U20))),"")</f>
        <v>Des méchanismes pour une collaboration intersectorielle régulière son ten places et sont mis en oeuvre</v>
      </c>
    </row>
    <row r="21" spans="1:21" s="51" customFormat="1" ht="75">
      <c r="A21" s="143">
        <f>SUMPRODUCT((STAGE=2)*(STATUS=0))</f>
        <v>1</v>
      </c>
      <c r="B21" s="133" t="str">
        <f t="array" ref="B21">IF(ROWS(B$20:B21)&lt;=$A$21,INDEX(Legislation!$C$5:$C$16,SMALL(IF(STAGE=2,IF(STATUS=0,ROW(STATUS)-ROW(Legislation!$E$5)+1)),ROWS(B$20:B21))),"")</f>
        <v/>
      </c>
      <c r="C21" s="86" t="str">
        <f t="array" ref="C21">IF(ROWS(C$20:C21)&lt;=$A$22,INDEX(Legislation!$C$5:$C$16,SMALL(IF(STAGE=2,IF(STATUS=1,ROW(STATUS)-ROW(Legislation!$E$5)+1)),ROWS(C$20:C21))),"")</f>
        <v>La définition de cas de rage humaine a été examiné et a été approuvé ( approche intersectorielle )</v>
      </c>
      <c r="D21" s="62">
        <f>SUMPRODUCT((datastage=2)*(datastatus=0))</f>
        <v>3</v>
      </c>
      <c r="E21" s="133" t="str">
        <f t="array" ref="E21">IF(ROWS(E$20:E21)&lt;=$D$21,INDEX('Data coll &amp; ax'!$C$5:$C$13,SMALL(IF(datastage=2,IF(datastatus=0,ROW(datastatus)-ROW('Data coll &amp; ax'!$E$5)+1)),ROWS(E$20:E21))),"")</f>
        <v>Un mécanisme de notification et de l'information en retour entre toutes les parties prenantes ( y compris les bureaux locaux et nationaux, santé humaine et animale ) a été établi</v>
      </c>
      <c r="F21" s="86" t="str">
        <f t="array" ref="F21">IF(ROWS(F$20:F21)&lt;=$D$22,INDEX('Data coll &amp; ax'!$C$5:$C$13,SMALL(IF(datastage=2,IF(datastatus=1,ROW(datastatus)-ROW('Data coll &amp; ax'!$E$5)+1)),ROWS(F$20:F21))),"")</f>
        <v/>
      </c>
      <c r="G21" s="53">
        <f>SUMPRODUCT((labstage=2)*(labstatus=0))</f>
        <v>4</v>
      </c>
      <c r="H21" s="137" t="str">
        <f t="array" ref="H21">IF(ROWS(H$20:H21)&lt;=$G$21,INDEX('Diagnostique lab'!$C$5:$C$14,SMALL(IF(labstage=2,IF(labstatus=0,ROW(labstatus)-ROW('Diagnostique lab'!$E$5)+1)),ROWS(H$20:H21))),"")</f>
        <v>Mécanismes et capacités pour la collecte et le transport échantillon ont été établis</v>
      </c>
      <c r="I21" s="52" t="str">
        <f t="array" ref="I21">IF(ROWS(I$20:I21)&lt;=$G$22,INDEX('Diagnostique lab'!$C$5:$C$14,SMALL(IF(labstage=2,IF(labstatus=1,ROW(labstatus)-ROW('Diagnostique lab'!$F$5)+1)),ROWS(I$20:I21))),"")</f>
        <v/>
      </c>
      <c r="J21" s="53">
        <f>SUMPRODUCT((iecstage=2)*(iecstatus=0))</f>
        <v>4</v>
      </c>
      <c r="K21" s="133" t="str">
        <f t="array" ref="K21">IF(ROWS(K$20:K21)&lt;=$J$21,INDEX(IEC!$C$5:$C$22,SMALL(IF(iecstage=2,IF(iecstatus=0,ROW(iecstatus)-ROW(IEC!$E$5)+1)),ROWS(K$20:K21))),"")</f>
        <v>Plan de communication de la rage mis à jour (par exemple, des campagnes de promotion propriétaires responsables de chiens ont été étendues à davantage de domaines )</v>
      </c>
      <c r="L21" s="86" t="str">
        <f t="array" ref="L21">IF(ROWS(L$20:L21)&lt;=$J$22,INDEX(IEC!$C$5:$C$22,SMALL(IF(iecstage=2,IF(iecstatus=1,ROW(iecstatus)-ROW(IEC!$E$5)+1)),ROWS(L$20:L21))),"")</f>
        <v/>
      </c>
      <c r="M21" s="57">
        <f>SUMPRODUCT((prevstage=2)*(prevstatus=0))</f>
        <v>3</v>
      </c>
      <c r="N21" s="137" t="str">
        <f t="array" ref="N21">IF(ROWS(N$20:N21)&lt;=$M$21,INDEX('Prev &amp; Ctrl'!$C$5:$C$29,SMALL(IF(prevstage=2,IF(prevstatus=0,ROW(prevstatus)-ROW('Prev &amp; Ctrl'!$E$5)+1)),ROWS(N$20:N21))),"")</f>
        <v>Protocoles de gestion des cas de morsure intégré ont été convenus , y compris le partage de l'information entre les secteurs</v>
      </c>
      <c r="O21" s="52" t="str">
        <f t="array" ref="O21">IF(ROWS(O$20:O21)&lt;=$M$22,INDEX('Prev &amp; Ctrl'!$C$5:$C$29,SMALL(IF(prevstage=2,IF(prevstatus=1,ROW(prevstatus)-ROW('Prev &amp; Ctrl'!$E$5)+1)),ROWS(O$20:O21))),"")</f>
        <v>Seuls les vaccins pour chiens de qualité , conformément aux normes de l'OIE sont utilisées</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3</v>
      </c>
      <c r="T21" s="137" t="str">
        <f t="array" ref="T21">IF(ROWS(T$20:T21)&lt;=$S$21,INDEX('Questions transversales'!$C$5:$C$19,SMALL(IF(crossstage=2,IF(crossstatus=0,ROW(crossstatus)-ROW('Questions transversales'!$E$5)+1)),ROWS(T$20:T21))),"")</f>
        <v xml:space="preserve">Un programme national intersectoriel et une stratégie pour la prevention, le contrôle et l’élimination de la rage ont été rédigés et partagés avec toutes les parties concernées </v>
      </c>
      <c r="U21" s="52" t="str">
        <f t="array" ref="U21">IF(ROWS(U$20:U21)&lt;=$S$22,INDEX('Questions transversales'!$C$5:$C$19,SMALL(IF(crossstage=2,IF(crossstatus=1,ROW(crossstatus)-ROW('Questions transversales'!$E$5)+1)),ROWS(U$20:U21))),"")</f>
        <v/>
      </c>
    </row>
    <row r="22" spans="1:21" s="51" customFormat="1" ht="90">
      <c r="A22" s="143">
        <f>SUMPRODUCT((STAGE=2)*(STATUS=1))</f>
        <v>2</v>
      </c>
      <c r="B22" s="133" t="str">
        <f t="array" ref="B22">IF(ROWS(B$20:B22)&lt;=$A$21,INDEX(Legislation!$C$5:$C$16,SMALL(IF(STAGE=2,IF(STATUS=0,ROW(STATUS)-ROW(Legislation!$E$5)+1)),ROWS(B$20:B22))),"")</f>
        <v/>
      </c>
      <c r="C22" s="86" t="str">
        <f t="array" ref="C22">IF(ROWS(C$20:C22)&lt;=$A$22,INDEX(Legislation!$C$5:$C$16,SMALL(IF(STAGE=2,IF(STATUS=1,ROW(STATUS)-ROW(Legislation!$E$5)+1)),ROWS(C$20:C22))),"")</f>
        <v/>
      </c>
      <c r="D22" s="62">
        <f>SUMPRODUCT((datastage=2)*(datastatus=1))</f>
        <v>0</v>
      </c>
      <c r="E22" s="133" t="str">
        <f t="array" ref="E22">IF(ROWS(E$20:E22)&lt;=$D$21,INDEX('Data coll &amp; ax'!$C$5:$C$13,SMALL(IF(datastage=2,IF(datastatus=0,ROW(datastatus)-ROW('Data coll &amp; ax'!$E$5)+1)),ROWS(E$20:E22))),"")</f>
        <v xml:space="preserve">Une collection de données économiques de la santé sur le contrôle de la rage, une disponibilité de certaines données économiques sur la santé au niveau local ou national pour faire le point sur l’investissement pour le contrôle de la rage </v>
      </c>
      <c r="F22" s="86" t="str">
        <f t="array" ref="F22">IF(ROWS(F$20:F22)&lt;=$D$22,INDEX('Data coll &amp; ax'!$C$5:$C$13,SMALL(IF(datastage=2,IF(datastatus=1,ROW(datastatus)-ROW('Data coll &amp; ax'!$E$5)+1)),ROWS(F$20:F22))),"")</f>
        <v/>
      </c>
      <c r="G22" s="53">
        <f>SUMPRODUCT((labstage=2)*(labstatus=1))</f>
        <v>0</v>
      </c>
      <c r="H22" s="137" t="str">
        <f t="array" ref="H22">IF(ROWS(H$20:H22)&lt;=$G$21,INDEX('Diagnostique lab'!$C$5:$C$14,SMALL(IF(labstage=2,IF(labstatus=0,ROW(labstatus)-ROW('Diagnostique lab'!$E$5)+1)),ROWS(H$20:H22))),"")</f>
        <v xml:space="preserve">Plus de 200 echantilllons de chiens suspects de rage sont traites par an </v>
      </c>
      <c r="I22" s="52" t="str">
        <f t="array" ref="I22">IF(ROWS(I$20:I22)&lt;=$G$22,INDEX('Diagnostique lab'!$C$5:$C$14,SMALL(IF(labstage=2,IF(labstatus=1,ROW(labstatus)-ROW('Diagnostique lab'!$F$5)+1)),ROWS(I$20:I22))),"")</f>
        <v/>
      </c>
      <c r="J22" s="53">
        <f>SUMPRODUCT((iecstage=2)*(iecstatus=1))</f>
        <v>0</v>
      </c>
      <c r="K22" s="133" t="str">
        <f t="array" ref="K22">IF(ROWS(K$20:K22)&lt;=$J$21,INDEX(IEC!$C$5:$C$22,SMALL(IF(iecstage=2,IF(iecstatus=0,ROW(iecstatus)-ROW(IEC!$E$5)+1)),ROWS(K$20:K22))),"")</f>
        <v>Des campagnes de sensibilisation sont dirigées et adaptées à des groupes cibles spécifiques</v>
      </c>
      <c r="L22" s="86" t="str">
        <f t="array" ref="L22">IF(ROWS(L$20:L22)&lt;=$J$22,INDEX(IEC!$C$5:$C$22,SMALL(IF(iecstage=2,IF(iecstatus=1,ROW(iecstatus)-ROW(IEC!$E$5)+1)),ROWS(L$20:L22))),"")</f>
        <v/>
      </c>
      <c r="M22" s="57">
        <f>SUMPRODUCT((prevstage=2)*(prevstatus=1))</f>
        <v>3</v>
      </c>
      <c r="N22" s="137" t="str">
        <f t="array" ref="N22">IF(ROWS(N$20:N22)&lt;=$M$21,INDEX('Prev &amp; Ctrl'!$C$5:$C$29,SMALL(IF(prevstage=2,IF(prevstatus=0,ROW(prevstatus)-ROW('Prev &amp; Ctrl'!$E$5)+1)),ROWS(N$20:N22))),"")</f>
        <v>Protocoles pour l'observation des chiens impliqués dans les incidents de morsure disponibles</v>
      </c>
      <c r="O22" s="52" t="str">
        <f t="array" ref="O22">IF(ROWS(O$20:O22)&lt;=$M$22,INDEX('Prev &amp; Ctrl'!$C$5:$C$29,SMALL(IF(prevstage=2,IF(prevstatus=1,ROW(prevstatus)-ROW('Prev &amp; Ctrl'!$E$5)+1)),ROWS(O$20:O22))),"")</f>
        <v>Des campagnes de vaccination de chiens sont régulièrement mises en œuvre en réponse à des cas humains et des flambées animales</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1</v>
      </c>
      <c r="T22" s="137" t="str">
        <f t="array" ref="T22">IF(ROWS(T$20:T22)&lt;=$S$21,INDEX('Questions transversales'!$C$5:$C$19,SMALL(IF(crossstage=2,IF(crossstatus=0,ROW(crossstatus)-ROW('Questions transversales'!$E$5)+1)),ROWS(T$20:T22))),"")</f>
        <v xml:space="preserve">Des ressources gouvernementales sont identifies et attribuées au contrôle de la rage </v>
      </c>
      <c r="U22" s="52" t="str">
        <f t="array" ref="U22">IF(ROWS(U$20:U22)&lt;=$S$22,INDEX('Questions transversales'!$C$5:$C$19,SMALL(IF(crossstage=2,IF(crossstatus=1,ROW(crossstatus)-ROW('Questions transversales'!$E$5)+1)),ROWS(U$20:U22))),"")</f>
        <v/>
      </c>
    </row>
    <row r="23" spans="1:21" s="51" customFormat="1" ht="45">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xml:space="preserve">Plus de 50 echantilllons d'autres especes domestiques ou sauvages  sensibles  sont traites par an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La formation du personnel médical et vétérinaire a été poursuivi</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
      </c>
      <c r="O23" s="52" t="str">
        <f t="array" ref="O23">IF(ROWS(O$20:O23)&lt;=$M$22,INDEX('Prev &amp; Ctrl'!$C$5:$C$29,SMALL(IF(prevstage=2,IF(prevstatus=1,ROW(prevstatus)-ROW('Prev &amp; Ctrl'!$E$5)+1)),ROWS(O$20:O23))),"")</f>
        <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c>
      <c r="U23" s="52" t="str">
        <f t="array" ref="U23">IF(ROWS(U$20:U23)&lt;=$S$22,INDEX('Questions transversales'!$C$5:$C$19,SMALL(IF(crossstage=2,IF(crossstatus=1,ROW(crossstatus)-ROW('Questions transversales'!$E$5)+1)),ROWS(U$20:U23))),"")</f>
        <v/>
      </c>
    </row>
    <row r="24" spans="1:21" s="51" customFormat="1">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90">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Surveillance vigoureuse est menée</v>
      </c>
      <c r="F29" s="86" t="str">
        <f t="array" ref="F29">IF(ROWS(F$29:F29)&lt;=$D$31,INDEX('Data coll &amp; ax'!$C$5:$C$13,SMALL(IF(datastage=3,IF(datastatus=1,ROW(datastatus)-ROW('Data coll &amp; ax'!$E$5)+1)),ROWS(F$29:F29))),"")</f>
        <v/>
      </c>
      <c r="G29" s="53"/>
      <c r="H29" s="136" t="str">
        <f t="array" ref="H29">IF(ROWS(H$29:H29)&lt;=$G$30,INDEX('Diagnostique lab'!$C$5:$C$14,SMALL(IF(labstage=3,IF(labstatus=0,ROW(labstatus)-ROW('Diagnostique lab'!$E$5)+1)),ROWS(H$29:H29))),"")</f>
        <v>Le diagnostic de laboratoire est disponible au niveau central et provincial ou de district pour les échantillons d'animaux</v>
      </c>
      <c r="I29" s="49" t="str">
        <f t="array" ref="I29">IF(ROWS(I$29:I29)&lt;=$G$31,INDEX('Diagnostique lab'!$C$5:$C$14,SMALL(IF(labstage=3,IF(labstatus=1,ROW(labstatus)-ROW('Diagnostique lab'!$F$5)+1)),ROWS(I$29:I29))),"")</f>
        <v/>
      </c>
      <c r="J29" s="50"/>
      <c r="K29" s="131" t="str">
        <f t="array" ref="K29">IF(ROWS(K$29:K29)&lt;=$J$30,INDEX(IEC!$C$5:$C$22,SMALL(IF(iecstage=3,IF(iecstatus=0,ROW(iecstatus)-ROW(IEC!$E$5)+1)),ROWS(K$29:K29))),"")</f>
        <v>Plan de communication sur l'approche élimination de la rage est en cours d'élaboration et de publicité</v>
      </c>
      <c r="L29" s="85" t="str">
        <f t="array" ref="L29">IF(ROWS(L$29:L29)&lt;=$J$31,INDEX(IEC!$C$5:$C$22,SMALL(IF(iecstage=3,IF(iecstatus=1,ROW(iecstatus)-ROW(IEC!$E$5)+1)),ROWS(L$29:L29))),"")</f>
        <v/>
      </c>
      <c r="M29" s="56"/>
      <c r="N29" s="136" t="str">
        <f t="array" ref="N29">IF(ROWS(N$29:N29)&lt;=$M$30,INDEX('Prev &amp; Ctrl'!$C$5:$C$29,SMALL(IF(prevstage=3,IF(prevstatus=0,ROW(prevstatus)-ROW('Prev &amp; Ctrl'!$E$5)+1)),ROWS(N$29:N29))),"")</f>
        <v>Fourniture en temps voulu et l'accès aux produits biologiques humaines de qualité sont assurés dans tout le pays (par exemple, avant et après la prophylaxie disponibles à un risque élevé d'exposition et les personnes exposées à travers le pays)</v>
      </c>
      <c r="O29" s="49" t="str">
        <f t="array" ref="O29">IF(ROWS(O$29:O29)&lt;=$M$31,INDEX('Prev &amp; Ctrl'!$C$5:$C$29,SMALL(IF(prevstage=3,IF(prevstatus=1,ROW(prevstatus)-ROW('Prev &amp; Ctrl'!$E$5)+1)),ROWS(O$29:O29))),"")</f>
        <v>Des campagnes de vaccination de masse des chiens approfondies ( 70 % de la population canine totale ) sont menées comme prévu dans tout le pays</v>
      </c>
      <c r="P29" s="50"/>
      <c r="Q29" s="131" t="str">
        <f t="array" ref="Q29">IF(ROWS(Q$29:Q29)&lt;=$P$30,INDEX('Dog popn'!$C$5:C30,SMALL(IF(dogstage=3,IF(dogstatus=0,ROW(dogstatus)-ROW('Dog popn'!$E$5)+1)),ROWS(Q$29:Q29))),"")</f>
        <v>Écologie canine plus détaillée et enquêtes KAP , avec raffinement de la stratégie , comme indiqué</v>
      </c>
      <c r="R29" s="85" t="str">
        <f t="array" ref="R29">IF(ROWS(R$29:R29)&lt;=$P$31,INDEX('Dog popn'!$C$5:$C$7,SMALL(IF(dogstage=3,IF(dogstatus=1,ROW(dogstatus)-ROW('Dog popn'!$E$5)+1)),ROWS(R$29:R29))),"")</f>
        <v>Responsable promotion de la possession d'un chien a été inclus dans les campagnes de sensibilisation régulières de la rage</v>
      </c>
      <c r="S29" s="50"/>
      <c r="T29" s="136" t="str">
        <f t="array" ref="T29">IF(ROWS(T$29:T29)&lt;=$S$30,INDEX('Questions transversales'!$C$5:$C$19,SMALL(IF(crossstage=3,IF(crossstatus=0,ROW(crossstatus)-ROW('Questions transversales'!$E$5)+1)),ROWS(T$29:T29))),"")</f>
        <v>L'évaluation des interventions de la rage de chien ( par exemple, les enquêtes post- vaccination )</v>
      </c>
      <c r="U29" s="49" t="str">
        <f t="array" ref="U29">IF(ROWS(U$29:U29)&lt;=$S$31,INDEX('Questions transversales'!$C$5:$C$19,SMALL(IF(crossstage=3,IF(crossstatus=1,ROW(crossstatus)-ROW('Questions transversales'!$E$5)+1)),ROWS(U$29:U29))),"")</f>
        <v/>
      </c>
    </row>
    <row r="30" spans="1:21" s="51" customFormat="1" ht="45">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2</v>
      </c>
      <c r="E30" s="133" t="str">
        <f t="array" ref="E30">IF(ROWS(E$29:E30)&lt;=$D$30,INDEX('Data coll &amp; ax'!$C$5:$C$13,SMALL(IF(datastage=3,IF(datastatus=0,ROW(datastatus)-ROW('Data coll &amp; ax'!$E$5)+1)),ROWS(E$29:E30))),"")</f>
        <v>Une collection de données économiques de la santé sur le contrôle de la rage au niveau national a été en cours</v>
      </c>
      <c r="F30" s="86" t="str">
        <f t="array" ref="F30">IF(ROWS(F$29:F30)&lt;=$D$31,INDEX('Data coll &amp; ax'!$C$5:$C$13,SMALL(IF(datastage=3,IF(datastatus=1,ROW(datastatus)-ROW('Data coll &amp; ax'!$E$5)+1)),ROWS(F$29:F30))),"")</f>
        <v/>
      </c>
      <c r="G30" s="53">
        <f>SUMPRODUCT((labstage=3)*(labstatus=0))</f>
        <v>3</v>
      </c>
      <c r="H30" s="137" t="str">
        <f t="array" ref="H30">IF(ROWS(H$29:H30)&lt;=$G$30,INDEX('Diagnostique lab'!$C$5:$C$14,SMALL(IF(labstage=3,IF(labstatus=0,ROW(labstatus)-ROW('Diagnostique lab'!$E$5)+1)),ROWS(H$29:H30))),"")</f>
        <v>Le diagnostic de laboratoire est disponible au niveau central et provincial ou de district pour les échantillons humains</v>
      </c>
      <c r="I30" s="52" t="str">
        <f t="array" ref="I30">IF(ROWS(I$29:I30)&lt;=$G$31,INDEX('Diagnostique lab'!$C$5:$C$14,SMALL(IF(labstage=3,IF(labstatus=1,ROW(labstatus)-ROW('Diagnostique lab'!$F$5)+1)),ROWS(I$29:I30))),"")</f>
        <v/>
      </c>
      <c r="J30" s="53">
        <f>SUMPRODUCT((iecstage=3)*(iecstatus=0))</f>
        <v>3</v>
      </c>
      <c r="K30" s="133" t="str">
        <f t="array" ref="K30">IF(ROWS(K$29:K30)&lt;=$J$30,INDEX(IEC!$C$5:$C$22,SMALL(IF(iecstage=3,IF(iecstatus=0,ROW(iecstatus)-ROW(IEC!$E$5)+1)),ROWS(K$29:K30))),"")</f>
        <v xml:space="preserve">Campagnes de sensibilisation sur l'interet de la vaccination des chiens  menee  a large echelle et de maniere continue  </v>
      </c>
      <c r="L30" s="86" t="str">
        <f t="array" ref="L30">IF(ROWS(L$29:L30)&lt;=$J$31,INDEX(IEC!$C$5:$C$22,SMALL(IF(iecstage=3,IF(iecstatus=1,ROW(iecstatus)-ROW(IEC!$E$5)+1)),ROWS(L$29:L30))),"")</f>
        <v/>
      </c>
      <c r="M30" s="57">
        <f>SUMPRODUCT((prevstage=3)*(prevstatus=0))</f>
        <v>3</v>
      </c>
      <c r="N30" s="137" t="str">
        <f t="array" ref="N30">IF(ROWS(N$29:N30)&lt;=$M$30,INDEX('Prev &amp; Ctrl'!$C$5:$C$29,SMALL(IF(prevstage=3,IF(prevstatus=0,ROW(prevstatus)-ROW('Prev &amp; Ctrl'!$E$5)+1)),ROWS(N$29:N30))),"")</f>
        <v>Protocoles modifiés sur les critères pour l'administration de la PPE dans les zones indemnes de rage ont été développés</v>
      </c>
      <c r="O30" s="52" t="str">
        <f t="array" ref="O30">IF(ROWS(O$29:O30)&lt;=$M$31,INDEX('Prev &amp; Ctrl'!$C$5:$C$29,SMALL(IF(prevstage=3,IF(prevstatus=1,ROW(prevstatus)-ROW('Prev &amp; Ctrl'!$E$5)+1)),ROWS(O$29:O30))),"")</f>
        <v>Équipements pour l'observation vétérinaire de la rage - suspect mordre chien ont été établies en nombre suffisant</v>
      </c>
      <c r="P30" s="53">
        <f>SUMPRODUCT((dogstage=3)*(dogstatus=0))</f>
        <v>1</v>
      </c>
      <c r="Q30" s="133" t="str">
        <f t="array" ref="Q30">IF(ROWS(Q$29:Q30)&lt;=$P$30,INDEX('Dog popn'!$C$5:C31,SMALL(IF(dogstage=3,IF(dogstatus=0,ROW(dogstatus)-ROW('Dog popn'!$E$5)+1)),ROWS(Q$29:Q30))),"")</f>
        <v/>
      </c>
      <c r="R30" s="86" t="str">
        <f t="array" ref="R30">IF(ROWS(R$29:R30)&lt;=$P$31,INDEX('Dog popn'!$C$5:$C$7,SMALL(IF(dogstage=3,IF(dogstatus=1,ROW(dogstatus)-ROW('Dog popn'!$E$5)+1)),ROWS(R$29:R30))),"")</f>
        <v/>
      </c>
      <c r="S30" s="53">
        <f>SUMPRODUCT((crossstage=3)*(crossstatus=0))</f>
        <v>3</v>
      </c>
      <c r="T30" s="137" t="str">
        <f t="array" ref="T30">IF(ROWS(T$29:T30)&lt;=$S$30,INDEX('Questions transversales'!$C$5:$C$19,SMALL(IF(crossstage=3,IF(crossstatus=0,ROW(crossstatus)-ROW('Questions transversales'!$E$5)+1)),ROWS(T$29:T30))),"")</f>
        <v>L'évaluation des interventions de rage humaine (par exemple PEP suivi des patients humains )</v>
      </c>
      <c r="U30" s="52" t="str">
        <f t="array" ref="U30">IF(ROWS(U$29:U30)&lt;=$S$31,INDEX('Questions transversales'!$C$5:$C$19,SMALL(IF(crossstage=3,IF(crossstatus=1,ROW(crossstatus)-ROW('Questions transversales'!$E$5)+1)),ROWS(U$29:U30))),"")</f>
        <v/>
      </c>
    </row>
    <row r="31" spans="1:21" s="51" customFormat="1" ht="60">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0</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0</v>
      </c>
      <c r="H31" s="137" t="str">
        <f t="array" ref="H31">IF(ROWS(H$29:H31)&lt;=$G$30,INDEX('Diagnostique lab'!$C$5:$C$14,SMALL(IF(labstage=3,IF(labstatus=0,ROW(labstatus)-ROW('Diagnostique lab'!$E$5)+1)),ROWS(H$29:H31))),"")</f>
        <v>Possibilité pour l'isolement de variants du virus de la rage a été identifié ( épidémiologie moléculaire ) à l'intérieur ou à l'extérieur du pays</v>
      </c>
      <c r="I31" s="52" t="str">
        <f t="array" ref="I31">IF(ROWS(I$29:I31)&lt;=$G$31,INDEX('Diagnostique lab'!$C$5:$C$14,SMALL(IF(labstage=3,IF(labstatus=1,ROW(labstatus)-ROW('Diagnostique lab'!$F$5)+1)),ROWS(I$29:I31))),"")</f>
        <v/>
      </c>
      <c r="J31" s="53">
        <f>SUMPRODUCT((iecstage=3)*(iecstatus=1))</f>
        <v>0</v>
      </c>
      <c r="K31" s="133" t="str">
        <f t="array" ref="K31">IF(ROWS(K$29:K31)&lt;=$J$30,INDEX(IEC!$C$5:$C$22,SMALL(IF(iecstage=3,IF(iecstatus=0,ROW(iecstatus)-ROW(IEC!$E$5)+1)),ROWS(K$29:K31))),"")</f>
        <v>Responsable promotion de la possession d'un chien a été inclus dans les campagnes de sensibilisation régulières de la rage</v>
      </c>
      <c r="L31" s="86" t="str">
        <f t="array" ref="L31">IF(ROWS(L$29:L31)&lt;=$J$31,INDEX(IEC!$C$5:$C$22,SMALL(IF(iecstage=3,IF(iecstatus=1,ROW(iecstatus)-ROW(IEC!$E$5)+1)),ROWS(L$29:L31))),"")</f>
        <v/>
      </c>
      <c r="M31" s="57">
        <f>SUMPRODUCT((prevstage=3)*(prevstatus=1))</f>
        <v>3</v>
      </c>
      <c r="N31" s="137" t="str">
        <f t="array" ref="N31">IF(ROWS(N$29:N31)&lt;=$M$30,INDEX('Prev &amp; Ctrl'!$C$5:$C$29,SMALL(IF(prevstage=3,IF(prevstatus=0,ROW(prevstatus)-ROW('Prev &amp; Ctrl'!$E$5)+1)),ROWS(N$29:N31))),"")</f>
        <v>Les professionnels ont été formés en réponse à la flambée et d'enquête</v>
      </c>
      <c r="O31" s="52" t="str">
        <f t="array" ref="O31">IF(ROWS(O$29:O31)&lt;=$M$31,INDEX('Prev &amp; Ctrl'!$C$5:$C$29,SMALL(IF(prevstage=3,IF(prevstatus=1,ROW(prevstatus)-ROW('Prev &amp; Ctrl'!$E$5)+1)),ROWS(O$29:O31))),"")</f>
        <v>Équipements pour l'observation vétérinaire de la rage suspecte chien qui mord conformes aux réglementations internationales de protection des animaux</v>
      </c>
      <c r="P31" s="53">
        <f>SUMPRODUCT((dogstage=3)*(dogstatus=1))</f>
        <v>1</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0</v>
      </c>
      <c r="T31" s="137" t="str">
        <f t="array" ref="T31">IF(ROWS(T$29:T31)&lt;=$S$30,INDEX('Questions transversales'!$C$5:$C$19,SMALL(IF(crossstage=3,IF(crossstatus=0,ROW(crossstatus)-ROW('Questions transversales'!$E$5)+1)),ROWS(T$29:T31))),"")</f>
        <v>La situation épidémiologique a été revu et le programme et la stratégie nationale ont été adaptés en fonction des besoins</v>
      </c>
      <c r="U31" s="52" t="str">
        <f t="array" ref="U31">IF(ROWS(U$29:U31)&lt;=$S$31,INDEX('Questions transversales'!$C$5:$C$19,SMALL(IF(crossstage=3,IF(crossstatus=1,ROW(crossstatus)-ROW('Questions transversales'!$E$5)+1)),ROWS(U$29:U31))),"")</f>
        <v/>
      </c>
    </row>
    <row r="32" spans="1:21" s="51" customFormat="1">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75">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Zones libres de la rage canine et l'absence de rage humaine ont été évaluées et vérifiées conformément à la lutte contre la rage et une stratégie nationale de prévention</v>
      </c>
      <c r="O38" s="49" t="str">
        <f t="array" ref="O38">IF(ROWS(O$38:O38)&lt;=$M$40,INDEX('Prev &amp; Ctrl'!$C$5:$C$29,SMALL(IF(prevstage=4,IF(prevstatus=1,ROW(prevstatus)-ROW('Prev &amp; Ctrl'!$E$5)+1)),ROWS(O$38:O38))),"")</f>
        <v>Des campagnes de vaccination de chiens sont maintenus dans les zones où la rage canine est toujours présent ou lorsque le justifier autrement</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
      </c>
    </row>
    <row r="39" spans="1:21" s="51" customFormat="1" ht="45">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3</v>
      </c>
      <c r="N39" s="137" t="str">
        <f t="array" ref="N39">IF(ROWS(N$38:N39)&lt;=$M$39,INDEX('Prev &amp; Ctrl'!$C$5:$C$29,SMALL(IF(prevstage=4,IF(prevstatus=0,ROW(prevstatus)-ROW('Prev &amp; Ctrl'!$E$5)+1)),ROWS(N$38:N39))),"")</f>
        <v>Tous les professionnels à risque de contracter la rage ont été vaccinés</v>
      </c>
      <c r="O39" s="52" t="str">
        <f t="array" ref="O39">IF(ROWS(O$38:O39)&lt;=$M$40,INDEX('Prev &amp; Ctrl'!$C$5:$C$29,SMALL(IF(prevstage=4,IF(prevstatus=1,ROW(prevstatus)-ROW('Prev &amp; Ctrl'!$E$5)+1)),ROWS(O$38:O39))),"")</f>
        <v>Les mesures appliquées dans les zones franches chien rage désigné</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3</v>
      </c>
      <c r="T39" s="137" t="str">
        <f t="array" ref="T39">IF(ROWS(T$38:T39)&lt;=$S$39,INDEX('Questions transversales'!$C$5:$C$19,SMALL(IF(crossstage=4,IF(crossstatus=0,ROW(crossstatus)-ROW('Questions transversales'!$E$5)+1)),ROWS(T$38:T39))),"")</f>
        <v>Dialogue avec les pays voisins ou d'autres pays a commencé , l'établissement d' un plan transfrontalier</v>
      </c>
      <c r="U39" s="52" t="str">
        <f t="array" ref="U39">IF(ROWS(U$38:U39)&lt;=$S$40,INDEX('Questions transversales'!$C$5:$C$19,SMALL(IF(crossstage=4,IF(crossstatus=1,ROW(crossstatus)-ROW('Questions transversales'!$E$5)+1)),ROWS(U$38:U39))),"")</f>
        <v/>
      </c>
    </row>
    <row r="40" spans="1:21" s="51" customFormat="1" ht="75">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2</v>
      </c>
      <c r="N40" s="137" t="str">
        <f t="array" ref="N40">IF(ROWS(N$38:N40)&lt;=$M$39,INDEX('Prev &amp; Ctrl'!$C$5:$C$29,SMALL(IF(prevstage=4,IF(prevstatus=0,ROW(prevstatus)-ROW('Prev &amp; Ctrl'!$E$5)+1)),ROWS(N$38:N40))),"")</f>
        <v>Un plan à long terme , y compris la réponse d'urgence aux épidémies suivante réintroduction a été développé</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0</v>
      </c>
      <c r="T40" s="137" t="str">
        <f t="array" ref="T40">IF(ROWS(T$38:T40)&lt;=$S$39,INDEX('Questions transversales'!$C$5:$C$19,SMALL(IF(crossstage=4,IF(crossstatus=0,ROW(crossstatus)-ROW('Questions transversales'!$E$5)+1)),ROWS(T$38:T40))),"")</f>
        <v>Mesures d'inspection frontaliers vétérinaires et de quarantaine sont entièrement mises en œuvre conformément à la réglementation nationale</v>
      </c>
      <c r="U40" s="52" t="str">
        <f t="array" ref="U40">IF(ROWS(U$38:U40)&lt;=$S$40,INDEX('Questions transversales'!$C$5:$C$19,SMALL(IF(crossstage=4,IF(crossstatus=1,ROW(crossstatus)-ROW('Questions transversales'!$E$5)+1)),ROWS(U$38:U40))),"")</f>
        <v/>
      </c>
    </row>
    <row r="41" spans="1:21" s="51" customFormat="1">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45">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Système de surveillance efficace pour la rage maintenu</v>
      </c>
      <c r="F47" s="49" t="str">
        <f t="array" ref="F47">IF(ROWS(F$47:F47)&lt;=$D$49,INDEX('Data coll &amp; ax'!$C$5:$C$13,SMALL(IF(datastage=5,IF(datastatus=1,ROW(datastatus)-ROW('Data coll &amp; ax'!$E$5)+1)),ROWS(F$47:F47))),"")</f>
        <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Protocoles modifiés sur les critères pour l'administration de la PPE pour les zones indemnes de rage en œuvre</v>
      </c>
      <c r="O47" s="49" t="str">
        <f t="array" ref="O47">IF(ROWS(O$47:O47)&lt;=$M$49,INDEX('Prev &amp; Ctrl'!$C$5:$C$29,SMALL(IF(prevstage=5,IF(prevstatus=1,ROW(prevstatus)-ROW('Prev &amp; Ctrl'!$E$5)+1)),ROWS(O$47:O47))),"")</f>
        <v>Basé sur une évaluation des risques , des campagnes de vaccination de chiens sont maintenus lorsque cela est justifié</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30">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1</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2</v>
      </c>
      <c r="N48" s="137" t="str">
        <f t="array" ref="N48">IF(ROWS(N$47:N48)&lt;=$M$48,INDEX('Prev &amp; Ctrl'!$C$5:$C$29,SMALL(IF(prevstage=5,IF(prevstatus=0,ROW(prevstatus)-ROW('Prev &amp; Ctrl'!$E$5)+1)),ROWS(N$47:N48))),"")</f>
        <v>Capacité de déclenchement et de réintroduction réponse maintenue</v>
      </c>
      <c r="O48" s="52" t="str">
        <f t="array" ref="O48">IF(ROWS(O$47:O48)&lt;=$M$49,INDEX('Prev &amp; Ctrl'!$C$5:$C$29,SMALL(IF(prevstage=5,IF(prevstatus=1,ROW(prevstatus)-ROW('Prev &amp; Ctrl'!$E$5)+1)),ROWS(O$47:O48))),"")</f>
        <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0</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1</v>
      </c>
      <c r="N49" s="137" t="str">
        <f t="array" ref="N49">IF(ROWS(N$47:N49)&lt;=$M$48,INDEX('Prev &amp; Ctrl'!$C$5:$C$29,SMALL(IF(prevstage=5,IF(prevstatus=0,ROW(prevstatus)-ROW('Prev &amp; Ctrl'!$E$5)+1)),ROWS(N$47:N49))),"")</f>
        <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2"/>
  <sheetViews>
    <sheetView workbookViewId="0">
      <pane ySplit="1" topLeftCell="A39" activePane="bottomLeft" state="frozen"/>
      <selection pane="bottomLeft" activeCell="B47" sqref="B47"/>
    </sheetView>
  </sheetViews>
  <sheetFormatPr baseColWidth="10" defaultColWidth="9.1640625" defaultRowHeight="15"/>
  <cols>
    <col min="1" max="1" width="9.1640625" style="174"/>
    <col min="2" max="2" width="27.1640625" style="175" customWidth="1"/>
    <col min="3" max="3" width="96" style="77" customWidth="1"/>
    <col min="4" max="16384" width="9.1640625" style="77"/>
  </cols>
  <sheetData>
    <row r="1" spans="1:3" s="174" customFormat="1">
      <c r="A1" s="174" t="s">
        <v>0</v>
      </c>
      <c r="B1" s="174" t="s">
        <v>369</v>
      </c>
      <c r="C1" s="174" t="s">
        <v>370</v>
      </c>
    </row>
    <row r="2" spans="1:3" ht="16">
      <c r="A2" s="176">
        <v>0</v>
      </c>
      <c r="B2" s="173" t="s">
        <v>26</v>
      </c>
      <c r="C2" s="10" t="s">
        <v>7</v>
      </c>
    </row>
    <row r="3" spans="1:3" ht="16">
      <c r="A3" s="176">
        <v>1</v>
      </c>
      <c r="B3" s="173" t="s">
        <v>26</v>
      </c>
      <c r="C3" s="10" t="s">
        <v>93</v>
      </c>
    </row>
    <row r="4" spans="1:3" ht="16">
      <c r="A4" s="176">
        <v>2</v>
      </c>
      <c r="B4" s="173" t="s">
        <v>26</v>
      </c>
      <c r="C4" s="10" t="s">
        <v>95</v>
      </c>
    </row>
    <row r="5" spans="1:3" ht="16">
      <c r="A5" s="176">
        <v>0</v>
      </c>
      <c r="B5" s="173" t="s">
        <v>26</v>
      </c>
      <c r="C5" s="10" t="s">
        <v>8</v>
      </c>
    </row>
    <row r="6" spans="1:3" ht="16">
      <c r="A6" s="176">
        <v>1</v>
      </c>
      <c r="B6" s="173" t="s">
        <v>26</v>
      </c>
      <c r="C6" s="10" t="s">
        <v>94</v>
      </c>
    </row>
    <row r="7" spans="1:3" ht="16">
      <c r="A7" s="176">
        <v>2</v>
      </c>
      <c r="B7" s="173" t="s">
        <v>26</v>
      </c>
      <c r="C7" s="10" t="s">
        <v>96</v>
      </c>
    </row>
    <row r="8" spans="1:3" ht="16">
      <c r="A8" s="176">
        <v>1</v>
      </c>
      <c r="B8" s="173" t="s">
        <v>26</v>
      </c>
      <c r="C8" s="10" t="s">
        <v>2</v>
      </c>
    </row>
    <row r="9" spans="1:3" ht="16">
      <c r="A9" s="176">
        <v>1</v>
      </c>
      <c r="B9" s="173" t="s">
        <v>26</v>
      </c>
      <c r="C9" s="10" t="s">
        <v>3</v>
      </c>
    </row>
    <row r="10" spans="1:3" ht="16">
      <c r="A10" s="176">
        <v>1</v>
      </c>
      <c r="B10" s="173" t="s">
        <v>26</v>
      </c>
      <c r="C10" s="177" t="s">
        <v>9</v>
      </c>
    </row>
    <row r="11" spans="1:3" ht="16">
      <c r="A11" s="176">
        <v>1</v>
      </c>
      <c r="B11" s="173" t="s">
        <v>26</v>
      </c>
      <c r="C11" s="177" t="s">
        <v>5</v>
      </c>
    </row>
    <row r="12" spans="1:3" ht="16">
      <c r="A12" s="176">
        <v>1</v>
      </c>
      <c r="B12" s="173" t="s">
        <v>26</v>
      </c>
      <c r="C12" s="177" t="s">
        <v>4</v>
      </c>
    </row>
    <row r="13" spans="1:3" ht="32">
      <c r="A13" s="176">
        <v>2</v>
      </c>
      <c r="B13" s="173" t="s">
        <v>26</v>
      </c>
      <c r="C13" s="10" t="s">
        <v>6</v>
      </c>
    </row>
    <row r="14" spans="1:3" ht="16">
      <c r="A14" s="176">
        <v>1</v>
      </c>
      <c r="B14" s="178" t="s">
        <v>27</v>
      </c>
      <c r="C14" s="179" t="s">
        <v>17</v>
      </c>
    </row>
    <row r="15" spans="1:3" ht="16">
      <c r="A15" s="176">
        <v>1</v>
      </c>
      <c r="B15" s="178" t="s">
        <v>27</v>
      </c>
      <c r="C15" s="179" t="s">
        <v>18</v>
      </c>
    </row>
    <row r="16" spans="1:3" ht="16">
      <c r="A16" s="176">
        <v>1</v>
      </c>
      <c r="B16" s="178" t="s">
        <v>27</v>
      </c>
      <c r="C16" s="179" t="s">
        <v>13</v>
      </c>
    </row>
    <row r="17" spans="1:3" ht="16">
      <c r="A17" s="176">
        <v>2</v>
      </c>
      <c r="B17" s="178" t="s">
        <v>27</v>
      </c>
      <c r="C17" s="180" t="s">
        <v>10</v>
      </c>
    </row>
    <row r="18" spans="1:3" ht="32">
      <c r="A18" s="176">
        <v>2</v>
      </c>
      <c r="B18" s="178" t="s">
        <v>27</v>
      </c>
      <c r="C18" s="180" t="s">
        <v>90</v>
      </c>
    </row>
    <row r="19" spans="1:3" ht="16">
      <c r="A19" s="176">
        <v>3</v>
      </c>
      <c r="B19" s="178" t="s">
        <v>27</v>
      </c>
      <c r="C19" s="179" t="s">
        <v>15</v>
      </c>
    </row>
    <row r="20" spans="1:3" ht="16">
      <c r="A20" s="176">
        <v>5</v>
      </c>
      <c r="B20" s="178" t="s">
        <v>27</v>
      </c>
      <c r="C20" s="179" t="s">
        <v>12</v>
      </c>
    </row>
    <row r="21" spans="1:3" ht="30" customHeight="1">
      <c r="A21" s="176">
        <v>2</v>
      </c>
      <c r="B21" s="178" t="s">
        <v>27</v>
      </c>
      <c r="C21" s="10" t="s">
        <v>14</v>
      </c>
    </row>
    <row r="22" spans="1:3" ht="16">
      <c r="A22" s="176">
        <v>3</v>
      </c>
      <c r="B22" s="178" t="s">
        <v>27</v>
      </c>
      <c r="C22" s="10" t="s">
        <v>11</v>
      </c>
    </row>
    <row r="23" spans="1:3" ht="30" customHeight="1">
      <c r="A23" s="176">
        <v>0</v>
      </c>
      <c r="B23" s="181" t="s">
        <v>31</v>
      </c>
      <c r="C23" s="182" t="s">
        <v>28</v>
      </c>
    </row>
    <row r="24" spans="1:3" ht="32">
      <c r="A24" s="176">
        <v>0</v>
      </c>
      <c r="B24" s="181" t="s">
        <v>31</v>
      </c>
      <c r="C24" s="182" t="s">
        <v>19</v>
      </c>
    </row>
    <row r="25" spans="1:3" ht="15" customHeight="1">
      <c r="A25" s="176">
        <v>1</v>
      </c>
      <c r="B25" s="181" t="s">
        <v>31</v>
      </c>
      <c r="C25" s="182" t="s">
        <v>20</v>
      </c>
    </row>
    <row r="26" spans="1:3" ht="16">
      <c r="A26" s="176">
        <v>2</v>
      </c>
      <c r="B26" s="181" t="s">
        <v>31</v>
      </c>
      <c r="C26" s="177" t="s">
        <v>22</v>
      </c>
    </row>
    <row r="27" spans="1:3" ht="16">
      <c r="A27" s="176">
        <v>3</v>
      </c>
      <c r="B27" s="181" t="s">
        <v>31</v>
      </c>
      <c r="C27" s="182" t="s">
        <v>29</v>
      </c>
    </row>
    <row r="28" spans="1:3" ht="16">
      <c r="A28" s="176">
        <v>3</v>
      </c>
      <c r="B28" s="181" t="s">
        <v>31</v>
      </c>
      <c r="C28" s="182" t="s">
        <v>30</v>
      </c>
    </row>
    <row r="29" spans="1:3" ht="16">
      <c r="A29" s="176">
        <v>3</v>
      </c>
      <c r="B29" s="181" t="s">
        <v>31</v>
      </c>
      <c r="C29" s="182" t="s">
        <v>23</v>
      </c>
    </row>
    <row r="30" spans="1:3" ht="15" customHeight="1">
      <c r="A30" s="176">
        <v>2</v>
      </c>
      <c r="B30" s="181" t="s">
        <v>31</v>
      </c>
      <c r="C30" s="10" t="s">
        <v>21</v>
      </c>
    </row>
    <row r="31" spans="1:3" ht="16">
      <c r="A31" s="176">
        <v>4</v>
      </c>
      <c r="B31" s="181" t="s">
        <v>31</v>
      </c>
      <c r="C31" s="10" t="s">
        <v>24</v>
      </c>
    </row>
    <row r="32" spans="1:3" ht="32">
      <c r="A32" s="176">
        <v>5</v>
      </c>
      <c r="B32" s="181" t="s">
        <v>31</v>
      </c>
      <c r="C32" s="10" t="s">
        <v>25</v>
      </c>
    </row>
    <row r="33" spans="1:3" ht="16">
      <c r="A33" s="176">
        <v>0</v>
      </c>
      <c r="B33" s="183" t="s">
        <v>371</v>
      </c>
      <c r="C33" s="10" t="s">
        <v>33</v>
      </c>
    </row>
    <row r="34" spans="1:3" ht="32">
      <c r="A34" s="176">
        <v>2</v>
      </c>
      <c r="B34" s="183" t="s">
        <v>371</v>
      </c>
      <c r="C34" s="177" t="s">
        <v>89</v>
      </c>
    </row>
    <row r="35" spans="1:3" ht="15" customHeight="1">
      <c r="A35" s="184">
        <v>1</v>
      </c>
      <c r="B35" s="183" t="s">
        <v>371</v>
      </c>
      <c r="C35" s="182" t="s">
        <v>35</v>
      </c>
    </row>
    <row r="36" spans="1:3" ht="16">
      <c r="A36" s="184">
        <v>1</v>
      </c>
      <c r="B36" s="183" t="s">
        <v>371</v>
      </c>
      <c r="C36" s="182" t="s">
        <v>46</v>
      </c>
    </row>
    <row r="37" spans="1:3" ht="32">
      <c r="A37" s="184">
        <v>2</v>
      </c>
      <c r="B37" s="183" t="s">
        <v>371</v>
      </c>
      <c r="C37" s="182" t="s">
        <v>37</v>
      </c>
    </row>
    <row r="38" spans="1:3" ht="16">
      <c r="A38" s="184">
        <v>3</v>
      </c>
      <c r="B38" s="183" t="s">
        <v>371</v>
      </c>
      <c r="C38" s="182" t="s">
        <v>39</v>
      </c>
    </row>
    <row r="39" spans="1:3" ht="15" customHeight="1">
      <c r="A39" s="176">
        <v>1</v>
      </c>
      <c r="B39" s="183" t="s">
        <v>371</v>
      </c>
      <c r="C39" s="10" t="s">
        <v>44</v>
      </c>
    </row>
    <row r="40" spans="1:3" ht="32">
      <c r="A40" s="176">
        <v>1</v>
      </c>
      <c r="B40" s="183" t="s">
        <v>371</v>
      </c>
      <c r="C40" s="10" t="s">
        <v>45</v>
      </c>
    </row>
    <row r="41" spans="1:3" ht="16">
      <c r="A41" s="176">
        <v>1</v>
      </c>
      <c r="B41" s="183" t="s">
        <v>371</v>
      </c>
      <c r="C41" s="10" t="s">
        <v>42</v>
      </c>
    </row>
    <row r="42" spans="1:3" ht="16">
      <c r="A42" s="176">
        <v>1</v>
      </c>
      <c r="B42" s="183" t="s">
        <v>371</v>
      </c>
      <c r="C42" s="10" t="s">
        <v>48</v>
      </c>
    </row>
    <row r="43" spans="1:3" ht="16">
      <c r="A43" s="184">
        <v>1</v>
      </c>
      <c r="B43" s="183" t="s">
        <v>371</v>
      </c>
      <c r="C43" s="182" t="s">
        <v>47</v>
      </c>
    </row>
    <row r="44" spans="1:3" ht="16">
      <c r="A44" s="184">
        <v>2</v>
      </c>
      <c r="B44" s="183" t="s">
        <v>371</v>
      </c>
      <c r="C44" s="182" t="s">
        <v>38</v>
      </c>
    </row>
    <row r="45" spans="1:3" ht="16">
      <c r="A45" s="184">
        <v>3</v>
      </c>
      <c r="B45" s="183" t="s">
        <v>371</v>
      </c>
      <c r="C45" s="185" t="s">
        <v>43</v>
      </c>
    </row>
    <row r="46" spans="1:3" ht="16">
      <c r="A46" s="184">
        <v>3</v>
      </c>
      <c r="B46" s="183" t="s">
        <v>374</v>
      </c>
      <c r="C46" s="10" t="s">
        <v>32</v>
      </c>
    </row>
    <row r="47" spans="1:3" ht="16">
      <c r="A47" s="184">
        <v>4</v>
      </c>
      <c r="B47" s="183" t="s">
        <v>371</v>
      </c>
      <c r="C47" s="10" t="s">
        <v>40</v>
      </c>
    </row>
    <row r="48" spans="1:3" ht="16">
      <c r="A48" s="184">
        <v>5</v>
      </c>
      <c r="B48" s="183" t="s">
        <v>371</v>
      </c>
      <c r="C48" s="10" t="s">
        <v>41</v>
      </c>
    </row>
    <row r="49" spans="1:3" ht="16">
      <c r="A49" s="176">
        <v>1</v>
      </c>
      <c r="B49" s="183" t="s">
        <v>371</v>
      </c>
      <c r="C49" s="10" t="s">
        <v>34</v>
      </c>
    </row>
    <row r="50" spans="1:3" ht="16">
      <c r="A50" s="176">
        <v>2</v>
      </c>
      <c r="B50" s="183" t="s">
        <v>371</v>
      </c>
      <c r="C50" s="177" t="s">
        <v>36</v>
      </c>
    </row>
    <row r="51" spans="1:3" ht="16">
      <c r="A51" s="186">
        <v>1</v>
      </c>
      <c r="B51" s="187" t="s">
        <v>372</v>
      </c>
      <c r="C51" s="182" t="s">
        <v>51</v>
      </c>
    </row>
    <row r="52" spans="1:3" ht="32">
      <c r="A52" s="186">
        <v>1</v>
      </c>
      <c r="B52" s="187" t="s">
        <v>372</v>
      </c>
      <c r="C52" s="177" t="s">
        <v>52</v>
      </c>
    </row>
    <row r="53" spans="1:3" ht="16">
      <c r="A53" s="186">
        <v>2</v>
      </c>
      <c r="B53" s="187" t="s">
        <v>372</v>
      </c>
      <c r="C53" s="177" t="s">
        <v>69</v>
      </c>
    </row>
    <row r="54" spans="1:3" ht="16">
      <c r="A54" s="186">
        <v>2</v>
      </c>
      <c r="B54" s="187" t="s">
        <v>372</v>
      </c>
      <c r="C54" s="188" t="s">
        <v>54</v>
      </c>
    </row>
    <row r="55" spans="1:3" ht="32">
      <c r="A55" s="189">
        <v>3</v>
      </c>
      <c r="B55" s="187" t="s">
        <v>372</v>
      </c>
      <c r="C55" s="182" t="s">
        <v>368</v>
      </c>
    </row>
    <row r="56" spans="1:3" ht="16">
      <c r="A56" s="189">
        <v>4</v>
      </c>
      <c r="B56" s="187" t="s">
        <v>372</v>
      </c>
      <c r="C56" s="182" t="s">
        <v>62</v>
      </c>
    </row>
    <row r="57" spans="1:3" ht="16">
      <c r="A57" s="189">
        <v>5</v>
      </c>
      <c r="B57" s="187" t="s">
        <v>372</v>
      </c>
      <c r="C57" s="188" t="s">
        <v>67</v>
      </c>
    </row>
    <row r="58" spans="1:3" ht="16">
      <c r="A58" s="189">
        <v>1</v>
      </c>
      <c r="B58" s="187" t="s">
        <v>372</v>
      </c>
      <c r="C58" s="190" t="s">
        <v>53</v>
      </c>
    </row>
    <row r="59" spans="1:3" ht="16">
      <c r="A59" s="186">
        <v>2</v>
      </c>
      <c r="B59" s="187" t="s">
        <v>372</v>
      </c>
      <c r="C59" s="191" t="s">
        <v>55</v>
      </c>
    </row>
    <row r="60" spans="1:3" ht="16">
      <c r="A60" s="186">
        <v>2</v>
      </c>
      <c r="B60" s="187" t="s">
        <v>372</v>
      </c>
      <c r="C60" s="191" t="s">
        <v>56</v>
      </c>
    </row>
    <row r="61" spans="1:3" ht="32">
      <c r="A61" s="186">
        <v>3</v>
      </c>
      <c r="B61" s="187" t="s">
        <v>372</v>
      </c>
      <c r="C61" s="10" t="s">
        <v>88</v>
      </c>
    </row>
    <row r="62" spans="1:3" ht="16">
      <c r="A62" s="186">
        <v>4</v>
      </c>
      <c r="B62" s="187" t="s">
        <v>372</v>
      </c>
      <c r="C62" s="10" t="s">
        <v>61</v>
      </c>
    </row>
    <row r="63" spans="1:3" ht="16">
      <c r="A63" s="189">
        <v>5</v>
      </c>
      <c r="B63" s="187" t="s">
        <v>372</v>
      </c>
      <c r="C63" s="10" t="s">
        <v>65</v>
      </c>
    </row>
    <row r="64" spans="1:3" ht="16">
      <c r="A64" s="189">
        <v>1</v>
      </c>
      <c r="B64" s="187" t="s">
        <v>372</v>
      </c>
      <c r="C64" s="10" t="s">
        <v>49</v>
      </c>
    </row>
    <row r="65" spans="1:3" ht="16">
      <c r="A65" s="189">
        <v>1</v>
      </c>
      <c r="B65" s="187" t="s">
        <v>372</v>
      </c>
      <c r="C65" s="10" t="s">
        <v>50</v>
      </c>
    </row>
    <row r="66" spans="1:3" ht="16">
      <c r="A66" s="189">
        <v>2</v>
      </c>
      <c r="B66" s="187" t="s">
        <v>372</v>
      </c>
      <c r="C66" s="191" t="s">
        <v>57</v>
      </c>
    </row>
    <row r="67" spans="1:3" ht="16">
      <c r="A67" s="192">
        <v>2</v>
      </c>
      <c r="B67" s="187" t="s">
        <v>372</v>
      </c>
      <c r="C67" s="191" t="s">
        <v>58</v>
      </c>
    </row>
    <row r="68" spans="1:3" ht="16">
      <c r="A68" s="192">
        <v>3</v>
      </c>
      <c r="B68" s="187" t="s">
        <v>372</v>
      </c>
      <c r="C68" s="10" t="s">
        <v>59</v>
      </c>
    </row>
    <row r="69" spans="1:3" ht="16">
      <c r="A69" s="186">
        <v>3</v>
      </c>
      <c r="B69" s="187" t="s">
        <v>372</v>
      </c>
      <c r="C69" s="182" t="s">
        <v>71</v>
      </c>
    </row>
    <row r="70" spans="1:3" ht="16">
      <c r="A70" s="186">
        <v>3</v>
      </c>
      <c r="B70" s="187" t="s">
        <v>372</v>
      </c>
      <c r="C70" s="182" t="s">
        <v>70</v>
      </c>
    </row>
    <row r="71" spans="1:3" ht="16">
      <c r="A71" s="186">
        <v>4</v>
      </c>
      <c r="B71" s="187" t="s">
        <v>372</v>
      </c>
      <c r="C71" s="10" t="s">
        <v>68</v>
      </c>
    </row>
    <row r="72" spans="1:3" ht="32">
      <c r="A72" s="186">
        <v>4</v>
      </c>
      <c r="B72" s="187" t="s">
        <v>372</v>
      </c>
      <c r="C72" s="10" t="s">
        <v>60</v>
      </c>
    </row>
    <row r="73" spans="1:3" ht="16">
      <c r="A73" s="186">
        <v>4</v>
      </c>
      <c r="B73" s="187" t="s">
        <v>372</v>
      </c>
      <c r="C73" s="10" t="s">
        <v>63</v>
      </c>
    </row>
    <row r="74" spans="1:3" ht="16">
      <c r="A74" s="186">
        <v>4</v>
      </c>
      <c r="B74" s="187" t="s">
        <v>372</v>
      </c>
      <c r="C74" s="10" t="s">
        <v>64</v>
      </c>
    </row>
    <row r="75" spans="1:3" ht="16">
      <c r="A75" s="186">
        <v>5</v>
      </c>
      <c r="B75" s="187" t="s">
        <v>372</v>
      </c>
      <c r="C75" s="10" t="s">
        <v>66</v>
      </c>
    </row>
    <row r="76" spans="1:3" ht="16">
      <c r="A76" s="176">
        <v>1</v>
      </c>
      <c r="B76" s="193" t="s">
        <v>373</v>
      </c>
      <c r="C76" s="10" t="s">
        <v>72</v>
      </c>
    </row>
    <row r="77" spans="1:3" ht="16">
      <c r="A77" s="176">
        <v>3</v>
      </c>
      <c r="B77" s="193" t="s">
        <v>373</v>
      </c>
      <c r="C77" s="10" t="s">
        <v>73</v>
      </c>
    </row>
    <row r="78" spans="1:3" ht="15" customHeight="1">
      <c r="A78" s="176">
        <v>1</v>
      </c>
      <c r="B78" s="181" t="s">
        <v>87</v>
      </c>
      <c r="C78" s="10" t="s">
        <v>74</v>
      </c>
    </row>
    <row r="79" spans="1:3" ht="16">
      <c r="A79" s="176">
        <v>1</v>
      </c>
      <c r="B79" s="181" t="s">
        <v>87</v>
      </c>
      <c r="C79" s="10" t="s">
        <v>75</v>
      </c>
    </row>
    <row r="80" spans="1:3" ht="16">
      <c r="A80" s="176">
        <v>1</v>
      </c>
      <c r="B80" s="181" t="s">
        <v>87</v>
      </c>
      <c r="C80" s="10" t="s">
        <v>76</v>
      </c>
    </row>
    <row r="81" spans="1:3" ht="16">
      <c r="A81" s="176">
        <v>2</v>
      </c>
      <c r="B81" s="181" t="s">
        <v>87</v>
      </c>
      <c r="C81" s="10" t="s">
        <v>79</v>
      </c>
    </row>
    <row r="82" spans="1:3" ht="16">
      <c r="A82" s="176">
        <v>2</v>
      </c>
      <c r="B82" s="181" t="s">
        <v>87</v>
      </c>
      <c r="C82" s="182" t="s">
        <v>82</v>
      </c>
    </row>
    <row r="83" spans="1:3" ht="30" customHeight="1">
      <c r="A83" s="176">
        <v>1</v>
      </c>
      <c r="B83" s="181" t="s">
        <v>87</v>
      </c>
      <c r="C83" s="182" t="s">
        <v>77</v>
      </c>
    </row>
    <row r="84" spans="1:3" ht="16">
      <c r="A84" s="176">
        <v>1</v>
      </c>
      <c r="B84" s="181" t="s">
        <v>87</v>
      </c>
      <c r="C84" s="182" t="s">
        <v>78</v>
      </c>
    </row>
    <row r="85" spans="1:3" ht="32">
      <c r="A85" s="176">
        <v>2</v>
      </c>
      <c r="B85" s="181" t="s">
        <v>87</v>
      </c>
      <c r="C85" s="182" t="s">
        <v>80</v>
      </c>
    </row>
    <row r="86" spans="1:3" ht="16">
      <c r="A86" s="176">
        <v>2</v>
      </c>
      <c r="B86" s="181" t="s">
        <v>87</v>
      </c>
      <c r="C86" s="182" t="s">
        <v>81</v>
      </c>
    </row>
    <row r="87" spans="1:3" ht="16">
      <c r="A87" s="176">
        <v>3</v>
      </c>
      <c r="B87" s="181" t="s">
        <v>87</v>
      </c>
      <c r="C87" s="182" t="s">
        <v>91</v>
      </c>
    </row>
    <row r="88" spans="1:3" ht="16">
      <c r="A88" s="176">
        <v>3</v>
      </c>
      <c r="B88" s="181" t="s">
        <v>87</v>
      </c>
      <c r="C88" s="182" t="s">
        <v>92</v>
      </c>
    </row>
    <row r="89" spans="1:3" ht="16">
      <c r="A89" s="176">
        <v>3</v>
      </c>
      <c r="B89" s="181" t="s">
        <v>87</v>
      </c>
      <c r="C89" s="182" t="s">
        <v>83</v>
      </c>
    </row>
    <row r="90" spans="1:3" ht="16">
      <c r="A90" s="176">
        <v>4</v>
      </c>
      <c r="B90" s="181" t="s">
        <v>87</v>
      </c>
      <c r="C90" s="182" t="s">
        <v>86</v>
      </c>
    </row>
    <row r="91" spans="1:3" ht="15" customHeight="1">
      <c r="A91" s="176">
        <v>4</v>
      </c>
      <c r="B91" s="181" t="s">
        <v>87</v>
      </c>
      <c r="C91" s="10" t="s">
        <v>84</v>
      </c>
    </row>
    <row r="92" spans="1:3" ht="16">
      <c r="A92" s="176">
        <v>4</v>
      </c>
      <c r="B92" s="181" t="s">
        <v>87</v>
      </c>
      <c r="C92" s="10" t="s">
        <v>85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14"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tabSelected="1" workbookViewId="0">
      <selection activeCell="F14" sqref="F14:I14"/>
    </sheetView>
  </sheetViews>
  <sheetFormatPr baseColWidth="10" defaultColWidth="9.1640625" defaultRowHeight="15"/>
  <cols>
    <col min="3" max="3" width="3.1640625" style="106" customWidth="1"/>
    <col min="4" max="4" width="7.5" style="106" customWidth="1"/>
    <col min="5" max="5" width="13.1640625" customWidth="1"/>
  </cols>
  <sheetData>
    <row r="4" spans="3:10" ht="26.25" customHeight="1">
      <c r="C4" s="223" t="s">
        <v>375</v>
      </c>
      <c r="D4" s="224"/>
      <c r="E4" s="221" t="s">
        <v>125</v>
      </c>
      <c r="F4" s="221"/>
      <c r="G4" s="221"/>
      <c r="H4" s="221"/>
      <c r="I4" s="221"/>
      <c r="J4" s="155" t="s">
        <v>378</v>
      </c>
    </row>
    <row r="6" spans="3:10" ht="26.25" customHeight="1">
      <c r="C6" s="219" t="s">
        <v>376</v>
      </c>
      <c r="D6" s="219"/>
      <c r="E6" s="220"/>
      <c r="F6" s="216" t="s">
        <v>546</v>
      </c>
      <c r="G6" s="216"/>
      <c r="H6" s="216"/>
      <c r="I6" s="216"/>
    </row>
    <row r="7" spans="3:10" ht="26.25" customHeight="1">
      <c r="C7" s="194"/>
      <c r="D7" s="219" t="s">
        <v>98</v>
      </c>
      <c r="E7" s="220"/>
      <c r="F7" s="217" t="s">
        <v>547</v>
      </c>
      <c r="G7" s="217"/>
      <c r="H7" s="217"/>
      <c r="I7" s="217"/>
    </row>
    <row r="8" spans="3:10" ht="26.25" customHeight="1">
      <c r="C8" s="194"/>
      <c r="D8" s="219" t="s">
        <v>99</v>
      </c>
      <c r="E8" s="220"/>
      <c r="F8" s="217" t="s">
        <v>548</v>
      </c>
      <c r="G8" s="217"/>
      <c r="H8" s="217"/>
      <c r="I8" s="217"/>
    </row>
    <row r="9" spans="3:10">
      <c r="C9" s="194"/>
      <c r="D9" s="194"/>
      <c r="E9" s="107"/>
      <c r="F9" s="106"/>
      <c r="G9" s="106"/>
      <c r="H9" s="106"/>
      <c r="I9" s="106"/>
    </row>
    <row r="10" spans="3:10" ht="26.25" customHeight="1">
      <c r="C10" s="219" t="s">
        <v>376</v>
      </c>
      <c r="D10" s="219"/>
      <c r="E10" s="220"/>
      <c r="F10" s="218"/>
      <c r="G10" s="218"/>
      <c r="H10" s="218"/>
      <c r="I10" s="218"/>
    </row>
    <row r="11" spans="3:10" ht="26.25" customHeight="1">
      <c r="C11" s="194"/>
      <c r="D11" s="219" t="s">
        <v>98</v>
      </c>
      <c r="E11" s="220"/>
      <c r="F11" s="218"/>
      <c r="G11" s="218"/>
      <c r="H11" s="218"/>
      <c r="I11" s="218"/>
    </row>
    <row r="12" spans="3:10" ht="26.25" customHeight="1">
      <c r="C12" s="194"/>
      <c r="D12" s="219" t="s">
        <v>99</v>
      </c>
      <c r="E12" s="220"/>
      <c r="F12" s="218"/>
      <c r="G12" s="218"/>
      <c r="H12" s="218"/>
      <c r="I12" s="218"/>
    </row>
    <row r="13" spans="3:10">
      <c r="C13" s="194"/>
      <c r="D13" s="194"/>
      <c r="E13" s="107"/>
      <c r="F13" s="106"/>
      <c r="G13" s="106"/>
      <c r="H13" s="106"/>
      <c r="I13" s="106"/>
    </row>
    <row r="14" spans="3:10" ht="26.25" customHeight="1">
      <c r="C14" s="219" t="s">
        <v>377</v>
      </c>
      <c r="D14" s="219"/>
      <c r="E14" s="220"/>
      <c r="F14" s="222">
        <v>42183</v>
      </c>
      <c r="G14" s="222"/>
      <c r="H14" s="222"/>
      <c r="I14" s="222"/>
    </row>
    <row r="15" spans="3:10">
      <c r="F15" s="108"/>
      <c r="G15" s="108"/>
      <c r="H15" s="108"/>
      <c r="I15" s="108"/>
    </row>
  </sheetData>
  <sheetProtection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sqref="A1:A65536"/>
    </sheetView>
  </sheetViews>
  <sheetFormatPr baseColWidth="10" defaultColWidth="9.1640625" defaultRowHeight="15"/>
  <cols>
    <col min="1" max="1" width="24.5" bestFit="1" customWidth="1"/>
  </cols>
  <sheetData>
    <row r="1" spans="1:1">
      <c r="A1" t="s">
        <v>100</v>
      </c>
    </row>
    <row r="2" spans="1:1">
      <c r="A2" t="s">
        <v>101</v>
      </c>
    </row>
    <row r="3" spans="1:1">
      <c r="A3" t="s">
        <v>102</v>
      </c>
    </row>
    <row r="4" spans="1:1">
      <c r="A4" t="s">
        <v>103</v>
      </c>
    </row>
    <row r="5" spans="1:1">
      <c r="A5" t="s">
        <v>104</v>
      </c>
    </row>
    <row r="6" spans="1:1">
      <c r="A6" t="s">
        <v>105</v>
      </c>
    </row>
    <row r="7" spans="1:1">
      <c r="A7" t="s">
        <v>106</v>
      </c>
    </row>
    <row r="8" spans="1:1">
      <c r="A8" t="s">
        <v>107</v>
      </c>
    </row>
    <row r="9" spans="1:1">
      <c r="A9" t="s">
        <v>108</v>
      </c>
    </row>
    <row r="10" spans="1:1">
      <c r="A10" t="s">
        <v>109</v>
      </c>
    </row>
    <row r="11" spans="1:1">
      <c r="A11" t="s">
        <v>110</v>
      </c>
    </row>
    <row r="12" spans="1:1">
      <c r="A12" t="s">
        <v>111</v>
      </c>
    </row>
    <row r="13" spans="1:1">
      <c r="A13" t="s">
        <v>112</v>
      </c>
    </row>
    <row r="14" spans="1:1">
      <c r="A14" t="s">
        <v>113</v>
      </c>
    </row>
    <row r="15" spans="1:1">
      <c r="A15" t="s">
        <v>114</v>
      </c>
    </row>
    <row r="16" spans="1:1">
      <c r="A16" t="s">
        <v>115</v>
      </c>
    </row>
    <row r="17" spans="1:1">
      <c r="A17" t="s">
        <v>116</v>
      </c>
    </row>
    <row r="18" spans="1:1">
      <c r="A18" t="s">
        <v>117</v>
      </c>
    </row>
    <row r="19" spans="1:1">
      <c r="A19" t="s">
        <v>118</v>
      </c>
    </row>
    <row r="20" spans="1:1">
      <c r="A20" t="s">
        <v>119</v>
      </c>
    </row>
    <row r="21" spans="1:1">
      <c r="A21" t="s">
        <v>120</v>
      </c>
    </row>
    <row r="22" spans="1:1">
      <c r="A22" t="s">
        <v>121</v>
      </c>
    </row>
    <row r="23" spans="1:1">
      <c r="A23" t="s">
        <v>122</v>
      </c>
    </row>
    <row r="24" spans="1:1">
      <c r="A24" t="s">
        <v>123</v>
      </c>
    </row>
    <row r="25" spans="1:1">
      <c r="A25" t="s">
        <v>124</v>
      </c>
    </row>
    <row r="26" spans="1:1">
      <c r="A26" t="s">
        <v>125</v>
      </c>
    </row>
    <row r="27" spans="1:1">
      <c r="A27" t="s">
        <v>126</v>
      </c>
    </row>
    <row r="28" spans="1:1">
      <c r="A28" t="s">
        <v>127</v>
      </c>
    </row>
    <row r="29" spans="1:1">
      <c r="A29" t="s">
        <v>128</v>
      </c>
    </row>
    <row r="30" spans="1:1">
      <c r="A30" t="s">
        <v>129</v>
      </c>
    </row>
    <row r="31" spans="1:1">
      <c r="A31" t="s">
        <v>130</v>
      </c>
    </row>
    <row r="32" spans="1:1">
      <c r="A32" t="s">
        <v>131</v>
      </c>
    </row>
    <row r="33" spans="1:1">
      <c r="A33" t="s">
        <v>132</v>
      </c>
    </row>
    <row r="34" spans="1:1">
      <c r="A34" t="s">
        <v>133</v>
      </c>
    </row>
    <row r="35" spans="1:1">
      <c r="A35" t="s">
        <v>134</v>
      </c>
    </row>
    <row r="36" spans="1:1">
      <c r="A36" t="s">
        <v>135</v>
      </c>
    </row>
    <row r="37" spans="1:1">
      <c r="A37" t="s">
        <v>136</v>
      </c>
    </row>
    <row r="38" spans="1:1">
      <c r="A38" t="s">
        <v>137</v>
      </c>
    </row>
    <row r="39" spans="1:1">
      <c r="A39" t="s">
        <v>138</v>
      </c>
    </row>
    <row r="40" spans="1:1">
      <c r="A40" t="s">
        <v>139</v>
      </c>
    </row>
    <row r="41" spans="1:1">
      <c r="A41" t="s">
        <v>140</v>
      </c>
    </row>
    <row r="42" spans="1:1">
      <c r="A42" t="s">
        <v>141</v>
      </c>
    </row>
    <row r="43" spans="1:1">
      <c r="A43" t="s">
        <v>142</v>
      </c>
    </row>
    <row r="44" spans="1:1">
      <c r="A44" t="s">
        <v>143</v>
      </c>
    </row>
    <row r="45" spans="1:1">
      <c r="A45" t="s">
        <v>144</v>
      </c>
    </row>
    <row r="46" spans="1:1">
      <c r="A46" t="s">
        <v>145</v>
      </c>
    </row>
    <row r="47" spans="1:1">
      <c r="A47" t="s">
        <v>146</v>
      </c>
    </row>
    <row r="48" spans="1:1">
      <c r="A48" t="s">
        <v>147</v>
      </c>
    </row>
    <row r="49" spans="1:1">
      <c r="A49" t="s">
        <v>148</v>
      </c>
    </row>
    <row r="50" spans="1:1">
      <c r="A50" t="s">
        <v>149</v>
      </c>
    </row>
    <row r="51" spans="1:1">
      <c r="A51" t="s">
        <v>150</v>
      </c>
    </row>
    <row r="52" spans="1:1">
      <c r="A52" t="s">
        <v>151</v>
      </c>
    </row>
    <row r="53" spans="1:1">
      <c r="A53" t="s">
        <v>152</v>
      </c>
    </row>
    <row r="54" spans="1:1">
      <c r="A54" t="s">
        <v>153</v>
      </c>
    </row>
    <row r="55" spans="1:1">
      <c r="A55" t="s">
        <v>154</v>
      </c>
    </row>
    <row r="56" spans="1:1">
      <c r="A56" t="s">
        <v>155</v>
      </c>
    </row>
    <row r="57" spans="1:1">
      <c r="A57" t="s">
        <v>156</v>
      </c>
    </row>
    <row r="58" spans="1:1">
      <c r="A58" t="s">
        <v>157</v>
      </c>
    </row>
    <row r="59" spans="1:1">
      <c r="A59" t="s">
        <v>158</v>
      </c>
    </row>
    <row r="60" spans="1:1">
      <c r="A60" t="s">
        <v>159</v>
      </c>
    </row>
    <row r="61" spans="1:1">
      <c r="A61" t="s">
        <v>160</v>
      </c>
    </row>
    <row r="62" spans="1:1">
      <c r="A62" t="s">
        <v>161</v>
      </c>
    </row>
    <row r="63" spans="1:1">
      <c r="A63" t="s">
        <v>162</v>
      </c>
    </row>
    <row r="64" spans="1:1">
      <c r="A64" t="s">
        <v>163</v>
      </c>
    </row>
    <row r="65" spans="1:1">
      <c r="A65" t="s">
        <v>164</v>
      </c>
    </row>
    <row r="66" spans="1:1">
      <c r="A66" t="s">
        <v>165</v>
      </c>
    </row>
    <row r="67" spans="1:1">
      <c r="A67" t="s">
        <v>166</v>
      </c>
    </row>
    <row r="68" spans="1:1">
      <c r="A68" t="s">
        <v>167</v>
      </c>
    </row>
    <row r="69" spans="1:1">
      <c r="A69" t="s">
        <v>168</v>
      </c>
    </row>
    <row r="70" spans="1:1">
      <c r="A70" t="s">
        <v>169</v>
      </c>
    </row>
    <row r="71" spans="1:1">
      <c r="A71" t="s">
        <v>170</v>
      </c>
    </row>
    <row r="72" spans="1:1">
      <c r="A72" t="s">
        <v>171</v>
      </c>
    </row>
    <row r="73" spans="1:1">
      <c r="A73" t="s">
        <v>172</v>
      </c>
    </row>
    <row r="74" spans="1:1">
      <c r="A74" t="s">
        <v>173</v>
      </c>
    </row>
    <row r="75" spans="1:1">
      <c r="A75" t="s">
        <v>174</v>
      </c>
    </row>
    <row r="76" spans="1:1">
      <c r="A76" t="s">
        <v>175</v>
      </c>
    </row>
    <row r="77" spans="1:1">
      <c r="A77" t="s">
        <v>176</v>
      </c>
    </row>
    <row r="78" spans="1:1">
      <c r="A78" t="s">
        <v>177</v>
      </c>
    </row>
    <row r="79" spans="1:1">
      <c r="A79" t="s">
        <v>178</v>
      </c>
    </row>
    <row r="80" spans="1:1">
      <c r="A80" t="s">
        <v>179</v>
      </c>
    </row>
    <row r="81" spans="1:1">
      <c r="A81" t="s">
        <v>180</v>
      </c>
    </row>
    <row r="82" spans="1:1">
      <c r="A82" t="s">
        <v>181</v>
      </c>
    </row>
    <row r="83" spans="1:1">
      <c r="A83" t="s">
        <v>182</v>
      </c>
    </row>
    <row r="84" spans="1:1">
      <c r="A84" t="s">
        <v>183</v>
      </c>
    </row>
    <row r="85" spans="1:1">
      <c r="A85" t="s">
        <v>184</v>
      </c>
    </row>
    <row r="86" spans="1:1">
      <c r="A86" t="s">
        <v>185</v>
      </c>
    </row>
    <row r="87" spans="1:1">
      <c r="A87" t="s">
        <v>186</v>
      </c>
    </row>
    <row r="88" spans="1:1">
      <c r="A88" t="s">
        <v>187</v>
      </c>
    </row>
    <row r="89" spans="1:1">
      <c r="A89" t="s">
        <v>188</v>
      </c>
    </row>
    <row r="90" spans="1:1">
      <c r="A90" t="s">
        <v>189</v>
      </c>
    </row>
    <row r="91" spans="1:1">
      <c r="A91" t="s">
        <v>190</v>
      </c>
    </row>
    <row r="92" spans="1:1">
      <c r="A92" t="s">
        <v>191</v>
      </c>
    </row>
    <row r="93" spans="1:1">
      <c r="A93" t="s">
        <v>192</v>
      </c>
    </row>
    <row r="94" spans="1:1">
      <c r="A94" t="s">
        <v>193</v>
      </c>
    </row>
    <row r="95" spans="1:1">
      <c r="A95" t="s">
        <v>194</v>
      </c>
    </row>
    <row r="96" spans="1:1">
      <c r="A96" t="s">
        <v>195</v>
      </c>
    </row>
    <row r="97" spans="1:1">
      <c r="A97" t="s">
        <v>196</v>
      </c>
    </row>
    <row r="98" spans="1:1">
      <c r="A98" t="s">
        <v>197</v>
      </c>
    </row>
    <row r="99" spans="1:1">
      <c r="A99" t="s">
        <v>198</v>
      </c>
    </row>
    <row r="100" spans="1:1">
      <c r="A100" t="s">
        <v>199</v>
      </c>
    </row>
    <row r="101" spans="1:1">
      <c r="A101" t="s">
        <v>200</v>
      </c>
    </row>
    <row r="102" spans="1:1">
      <c r="A102" t="s">
        <v>201</v>
      </c>
    </row>
    <row r="103" spans="1:1">
      <c r="A103" t="s">
        <v>202</v>
      </c>
    </row>
    <row r="104" spans="1:1">
      <c r="A104" t="s">
        <v>203</v>
      </c>
    </row>
    <row r="105" spans="1:1">
      <c r="A105" t="s">
        <v>204</v>
      </c>
    </row>
    <row r="106" spans="1:1">
      <c r="A106" t="s">
        <v>205</v>
      </c>
    </row>
    <row r="107" spans="1:1">
      <c r="A107" t="s">
        <v>206</v>
      </c>
    </row>
    <row r="108" spans="1:1">
      <c r="A108" t="s">
        <v>207</v>
      </c>
    </row>
    <row r="109" spans="1:1">
      <c r="A109" t="s">
        <v>208</v>
      </c>
    </row>
    <row r="110" spans="1:1">
      <c r="A110" t="s">
        <v>209</v>
      </c>
    </row>
    <row r="111" spans="1:1">
      <c r="A111" t="s">
        <v>210</v>
      </c>
    </row>
    <row r="112" spans="1:1">
      <c r="A112" t="s">
        <v>211</v>
      </c>
    </row>
    <row r="113" spans="1:1">
      <c r="A113" t="s">
        <v>212</v>
      </c>
    </row>
    <row r="114" spans="1:1">
      <c r="A114" t="s">
        <v>213</v>
      </c>
    </row>
    <row r="115" spans="1:1">
      <c r="A115" t="s">
        <v>214</v>
      </c>
    </row>
    <row r="116" spans="1:1">
      <c r="A116" t="s">
        <v>215</v>
      </c>
    </row>
    <row r="117" spans="1:1">
      <c r="A117" t="s">
        <v>216</v>
      </c>
    </row>
    <row r="118" spans="1:1">
      <c r="A118" t="s">
        <v>217</v>
      </c>
    </row>
    <row r="119" spans="1:1">
      <c r="A119" t="s">
        <v>218</v>
      </c>
    </row>
    <row r="120" spans="1:1">
      <c r="A120" t="s">
        <v>219</v>
      </c>
    </row>
    <row r="121" spans="1:1">
      <c r="A121" t="s">
        <v>220</v>
      </c>
    </row>
    <row r="122" spans="1:1">
      <c r="A122" t="s">
        <v>221</v>
      </c>
    </row>
    <row r="123" spans="1:1">
      <c r="A123" t="s">
        <v>222</v>
      </c>
    </row>
    <row r="124" spans="1:1">
      <c r="A124" t="s">
        <v>223</v>
      </c>
    </row>
    <row r="125" spans="1:1">
      <c r="A125" t="s">
        <v>224</v>
      </c>
    </row>
    <row r="126" spans="1:1">
      <c r="A126" t="s">
        <v>225</v>
      </c>
    </row>
    <row r="127" spans="1:1">
      <c r="A127" t="s">
        <v>226</v>
      </c>
    </row>
    <row r="128" spans="1:1">
      <c r="A128" t="s">
        <v>227</v>
      </c>
    </row>
    <row r="129" spans="1:1">
      <c r="A129" t="s">
        <v>228</v>
      </c>
    </row>
    <row r="130" spans="1:1">
      <c r="A130" t="s">
        <v>229</v>
      </c>
    </row>
    <row r="131" spans="1:1">
      <c r="A131" t="s">
        <v>230</v>
      </c>
    </row>
    <row r="132" spans="1:1">
      <c r="A132" t="s">
        <v>231</v>
      </c>
    </row>
    <row r="133" spans="1:1">
      <c r="A133" t="s">
        <v>232</v>
      </c>
    </row>
    <row r="134" spans="1:1">
      <c r="A134" t="s">
        <v>233</v>
      </c>
    </row>
    <row r="135" spans="1:1">
      <c r="A135" t="s">
        <v>234</v>
      </c>
    </row>
    <row r="136" spans="1:1">
      <c r="A136" t="s">
        <v>235</v>
      </c>
    </row>
    <row r="137" spans="1:1">
      <c r="A137" t="s">
        <v>236</v>
      </c>
    </row>
    <row r="138" spans="1:1">
      <c r="A138" t="s">
        <v>237</v>
      </c>
    </row>
    <row r="139" spans="1:1">
      <c r="A139" t="s">
        <v>238</v>
      </c>
    </row>
    <row r="140" spans="1:1">
      <c r="A140" t="s">
        <v>239</v>
      </c>
    </row>
    <row r="141" spans="1:1">
      <c r="A141" t="s">
        <v>240</v>
      </c>
    </row>
    <row r="142" spans="1:1">
      <c r="A142" t="s">
        <v>241</v>
      </c>
    </row>
    <row r="143" spans="1:1">
      <c r="A143" t="s">
        <v>242</v>
      </c>
    </row>
    <row r="144" spans="1:1">
      <c r="A144" t="s">
        <v>243</v>
      </c>
    </row>
    <row r="145" spans="1:1">
      <c r="A145" t="s">
        <v>244</v>
      </c>
    </row>
    <row r="146" spans="1:1">
      <c r="A146" t="s">
        <v>245</v>
      </c>
    </row>
    <row r="147" spans="1:1">
      <c r="A147" t="s">
        <v>246</v>
      </c>
    </row>
    <row r="148" spans="1:1">
      <c r="A148" t="s">
        <v>247</v>
      </c>
    </row>
    <row r="149" spans="1:1">
      <c r="A149" t="s">
        <v>248</v>
      </c>
    </row>
    <row r="150" spans="1:1">
      <c r="A150" t="s">
        <v>249</v>
      </c>
    </row>
    <row r="151" spans="1:1">
      <c r="A151" t="s">
        <v>250</v>
      </c>
    </row>
    <row r="152" spans="1:1">
      <c r="A152" t="s">
        <v>251</v>
      </c>
    </row>
    <row r="153" spans="1:1">
      <c r="A153" t="s">
        <v>252</v>
      </c>
    </row>
    <row r="154" spans="1:1">
      <c r="A154" t="s">
        <v>253</v>
      </c>
    </row>
    <row r="155" spans="1:1">
      <c r="A155" t="s">
        <v>254</v>
      </c>
    </row>
    <row r="156" spans="1:1">
      <c r="A156" t="s">
        <v>255</v>
      </c>
    </row>
    <row r="157" spans="1:1">
      <c r="A157" t="s">
        <v>256</v>
      </c>
    </row>
    <row r="158" spans="1:1">
      <c r="A158" t="s">
        <v>257</v>
      </c>
    </row>
    <row r="159" spans="1:1">
      <c r="A159" t="s">
        <v>258</v>
      </c>
    </row>
    <row r="160" spans="1:1">
      <c r="A160" t="s">
        <v>259</v>
      </c>
    </row>
    <row r="161" spans="1:1">
      <c r="A161" t="s">
        <v>260</v>
      </c>
    </row>
    <row r="162" spans="1:1">
      <c r="A162" t="s">
        <v>261</v>
      </c>
    </row>
    <row r="163" spans="1:1">
      <c r="A163" t="s">
        <v>262</v>
      </c>
    </row>
    <row r="164" spans="1:1">
      <c r="A164" t="s">
        <v>263</v>
      </c>
    </row>
    <row r="165" spans="1:1">
      <c r="A165" t="s">
        <v>264</v>
      </c>
    </row>
    <row r="166" spans="1:1">
      <c r="A166" t="s">
        <v>265</v>
      </c>
    </row>
    <row r="167" spans="1:1">
      <c r="A167" t="s">
        <v>266</v>
      </c>
    </row>
    <row r="168" spans="1:1">
      <c r="A168" t="s">
        <v>267</v>
      </c>
    </row>
    <row r="169" spans="1:1">
      <c r="A169" t="s">
        <v>268</v>
      </c>
    </row>
    <row r="170" spans="1:1">
      <c r="A170" t="s">
        <v>269</v>
      </c>
    </row>
    <row r="171" spans="1:1">
      <c r="A171" t="s">
        <v>270</v>
      </c>
    </row>
    <row r="172" spans="1:1">
      <c r="A172" t="s">
        <v>271</v>
      </c>
    </row>
    <row r="173" spans="1:1">
      <c r="A173" t="s">
        <v>272</v>
      </c>
    </row>
    <row r="174" spans="1:1">
      <c r="A174" t="s">
        <v>273</v>
      </c>
    </row>
    <row r="175" spans="1:1">
      <c r="A175" t="s">
        <v>274</v>
      </c>
    </row>
    <row r="176" spans="1:1">
      <c r="A176" t="s">
        <v>275</v>
      </c>
    </row>
    <row r="177" spans="1:1">
      <c r="A177" t="s">
        <v>276</v>
      </c>
    </row>
    <row r="178" spans="1:1">
      <c r="A178" t="s">
        <v>277</v>
      </c>
    </row>
    <row r="179" spans="1:1">
      <c r="A179" t="s">
        <v>278</v>
      </c>
    </row>
    <row r="180" spans="1:1">
      <c r="A180" t="s">
        <v>279</v>
      </c>
    </row>
    <row r="181" spans="1:1">
      <c r="A181" t="s">
        <v>280</v>
      </c>
    </row>
    <row r="182" spans="1:1">
      <c r="A182" t="s">
        <v>281</v>
      </c>
    </row>
    <row r="183" spans="1:1">
      <c r="A183" t="s">
        <v>282</v>
      </c>
    </row>
    <row r="184" spans="1:1">
      <c r="A184" t="s">
        <v>283</v>
      </c>
    </row>
    <row r="185" spans="1:1">
      <c r="A185" t="s">
        <v>284</v>
      </c>
    </row>
    <row r="186" spans="1:1">
      <c r="A186" t="s">
        <v>285</v>
      </c>
    </row>
    <row r="187" spans="1:1">
      <c r="A187" t="s">
        <v>286</v>
      </c>
    </row>
    <row r="188" spans="1:1">
      <c r="A188" t="s">
        <v>287</v>
      </c>
    </row>
    <row r="189" spans="1:1">
      <c r="A189" t="s">
        <v>288</v>
      </c>
    </row>
    <row r="190" spans="1:1">
      <c r="A190" t="s">
        <v>289</v>
      </c>
    </row>
    <row r="191" spans="1:1">
      <c r="A191" t="s">
        <v>290</v>
      </c>
    </row>
    <row r="192" spans="1:1">
      <c r="A192" t="s">
        <v>291</v>
      </c>
    </row>
    <row r="193" spans="1:1">
      <c r="A193" t="s">
        <v>292</v>
      </c>
    </row>
    <row r="194" spans="1:1">
      <c r="A194" t="s">
        <v>293</v>
      </c>
    </row>
    <row r="195" spans="1:1">
      <c r="A195" t="s">
        <v>294</v>
      </c>
    </row>
    <row r="196" spans="1:1">
      <c r="A196" t="s">
        <v>295</v>
      </c>
    </row>
    <row r="197" spans="1:1">
      <c r="A197" t="s">
        <v>296</v>
      </c>
    </row>
    <row r="198" spans="1:1">
      <c r="A198" t="s">
        <v>297</v>
      </c>
    </row>
    <row r="199" spans="1:1">
      <c r="A199" t="s">
        <v>298</v>
      </c>
    </row>
    <row r="200" spans="1:1">
      <c r="A200" t="s">
        <v>299</v>
      </c>
    </row>
    <row r="201" spans="1:1">
      <c r="A201" t="s">
        <v>300</v>
      </c>
    </row>
    <row r="202" spans="1:1">
      <c r="A202" t="s">
        <v>301</v>
      </c>
    </row>
    <row r="203" spans="1:1">
      <c r="A203" t="s">
        <v>302</v>
      </c>
    </row>
    <row r="204" spans="1:1">
      <c r="A204" t="s">
        <v>303</v>
      </c>
    </row>
    <row r="205" spans="1:1">
      <c r="A205" t="s">
        <v>304</v>
      </c>
    </row>
    <row r="206" spans="1:1">
      <c r="A206" t="s">
        <v>305</v>
      </c>
    </row>
    <row r="207" spans="1:1">
      <c r="A207" t="s">
        <v>306</v>
      </c>
    </row>
    <row r="208" spans="1:1">
      <c r="A208" t="s">
        <v>307</v>
      </c>
    </row>
    <row r="209" spans="1:1">
      <c r="A209" t="s">
        <v>308</v>
      </c>
    </row>
    <row r="210" spans="1:1">
      <c r="A210" t="s">
        <v>309</v>
      </c>
    </row>
    <row r="211" spans="1:1">
      <c r="A211" t="s">
        <v>310</v>
      </c>
    </row>
    <row r="212" spans="1:1">
      <c r="A212" t="s">
        <v>311</v>
      </c>
    </row>
    <row r="213" spans="1:1">
      <c r="A213" t="s">
        <v>312</v>
      </c>
    </row>
    <row r="214" spans="1:1">
      <c r="A214" t="s">
        <v>313</v>
      </c>
    </row>
    <row r="215" spans="1:1">
      <c r="A215" t="s">
        <v>314</v>
      </c>
    </row>
    <row r="216" spans="1:1">
      <c r="A216" t="s">
        <v>315</v>
      </c>
    </row>
    <row r="217" spans="1:1">
      <c r="A217" t="s">
        <v>316</v>
      </c>
    </row>
    <row r="218" spans="1:1">
      <c r="A218" t="s">
        <v>317</v>
      </c>
    </row>
    <row r="219" spans="1:1">
      <c r="A219" t="s">
        <v>318</v>
      </c>
    </row>
    <row r="220" spans="1:1">
      <c r="A220" t="s">
        <v>319</v>
      </c>
    </row>
    <row r="221" spans="1:1">
      <c r="A221" t="s">
        <v>320</v>
      </c>
    </row>
    <row r="222" spans="1:1">
      <c r="A222" t="s">
        <v>321</v>
      </c>
    </row>
    <row r="223" spans="1:1">
      <c r="A223" t="s">
        <v>322</v>
      </c>
    </row>
    <row r="224" spans="1:1">
      <c r="A224" t="s">
        <v>323</v>
      </c>
    </row>
    <row r="225" spans="1:1">
      <c r="A225" t="s">
        <v>324</v>
      </c>
    </row>
    <row r="226" spans="1:1">
      <c r="A226" t="s">
        <v>325</v>
      </c>
    </row>
    <row r="227" spans="1:1">
      <c r="A227" t="s">
        <v>326</v>
      </c>
    </row>
    <row r="228" spans="1:1">
      <c r="A228" t="s">
        <v>327</v>
      </c>
    </row>
    <row r="229" spans="1:1">
      <c r="A229" t="s">
        <v>328</v>
      </c>
    </row>
    <row r="230" spans="1:1">
      <c r="A230" t="s">
        <v>329</v>
      </c>
    </row>
    <row r="231" spans="1:1">
      <c r="A231" t="s">
        <v>330</v>
      </c>
    </row>
    <row r="232" spans="1:1">
      <c r="A232" t="s">
        <v>331</v>
      </c>
    </row>
    <row r="233" spans="1:1">
      <c r="A233" t="s">
        <v>332</v>
      </c>
    </row>
    <row r="234" spans="1:1">
      <c r="A234" t="s">
        <v>333</v>
      </c>
    </row>
    <row r="235" spans="1:1">
      <c r="A235" t="s">
        <v>334</v>
      </c>
    </row>
    <row r="236" spans="1:1">
      <c r="A236" t="s">
        <v>335</v>
      </c>
    </row>
    <row r="237" spans="1:1">
      <c r="A237" t="s">
        <v>336</v>
      </c>
    </row>
    <row r="238" spans="1:1">
      <c r="A238" t="s">
        <v>337</v>
      </c>
    </row>
    <row r="239" spans="1:1">
      <c r="A239" t="s">
        <v>338</v>
      </c>
    </row>
    <row r="240" spans="1:1">
      <c r="A240" t="s">
        <v>339</v>
      </c>
    </row>
    <row r="241" spans="1:1">
      <c r="A241" t="s">
        <v>340</v>
      </c>
    </row>
    <row r="242" spans="1:1">
      <c r="A242" t="s">
        <v>341</v>
      </c>
    </row>
    <row r="243" spans="1:1">
      <c r="A243" t="s">
        <v>342</v>
      </c>
    </row>
    <row r="244" spans="1:1">
      <c r="A244" t="s">
        <v>343</v>
      </c>
    </row>
    <row r="245" spans="1:1">
      <c r="A245" t="s">
        <v>344</v>
      </c>
    </row>
    <row r="246" spans="1:1">
      <c r="A246" t="s">
        <v>345</v>
      </c>
    </row>
    <row r="247" spans="1:1">
      <c r="A247" t="s">
        <v>346</v>
      </c>
    </row>
    <row r="248" spans="1:1">
      <c r="A248" t="s">
        <v>347</v>
      </c>
    </row>
    <row r="249" spans="1:1">
      <c r="A249" t="s">
        <v>348</v>
      </c>
    </row>
    <row r="250" spans="1:1">
      <c r="A250" t="s">
        <v>349</v>
      </c>
    </row>
    <row r="251" spans="1:1">
      <c r="A251" t="s">
        <v>350</v>
      </c>
    </row>
    <row r="252" spans="1:1">
      <c r="A252" t="s">
        <v>351</v>
      </c>
    </row>
    <row r="253" spans="1:1">
      <c r="A253" t="s">
        <v>352</v>
      </c>
    </row>
    <row r="254" spans="1:1">
      <c r="A254" t="s">
        <v>353</v>
      </c>
    </row>
    <row r="255" spans="1:1">
      <c r="A255" t="s">
        <v>354</v>
      </c>
    </row>
    <row r="256" spans="1:1">
      <c r="A256" t="s">
        <v>355</v>
      </c>
    </row>
    <row r="257" spans="1:1">
      <c r="A257" t="s">
        <v>356</v>
      </c>
    </row>
    <row r="258" spans="1:1">
      <c r="A258" t="s">
        <v>357</v>
      </c>
    </row>
    <row r="259" spans="1:1">
      <c r="A259" t="s">
        <v>358</v>
      </c>
    </row>
    <row r="260" spans="1:1">
      <c r="A260" t="s">
        <v>359</v>
      </c>
    </row>
    <row r="261" spans="1:1">
      <c r="A261" t="s">
        <v>360</v>
      </c>
    </row>
    <row r="262" spans="1:1">
      <c r="A262" t="s">
        <v>361</v>
      </c>
    </row>
    <row r="263" spans="1:1">
      <c r="A263" t="s">
        <v>362</v>
      </c>
    </row>
    <row r="264" spans="1:1">
      <c r="A264" t="s">
        <v>363</v>
      </c>
    </row>
    <row r="265" spans="1:1">
      <c r="A265" t="s">
        <v>364</v>
      </c>
    </row>
    <row r="266" spans="1:1">
      <c r="A266" t="s">
        <v>365</v>
      </c>
    </row>
    <row r="267" spans="1:1">
      <c r="A267" t="s">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topLeftCell="A7" workbookViewId="0">
      <selection activeCell="E13" sqref="E13"/>
    </sheetView>
  </sheetViews>
  <sheetFormatPr baseColWidth="10" defaultColWidth="9.1640625" defaultRowHeight="15"/>
  <cols>
    <col min="1" max="1" width="9.1640625" style="4" customWidth="1"/>
    <col min="2" max="2" width="14.83203125" style="5" customWidth="1"/>
    <col min="3" max="3" width="56" style="5" customWidth="1"/>
    <col min="4" max="4" width="50.33203125" style="5" customWidth="1"/>
    <col min="6" max="6" width="38.83203125" customWidth="1"/>
    <col min="7" max="7" width="79.5" style="199" customWidth="1"/>
  </cols>
  <sheetData>
    <row r="1" spans="1:7" ht="16">
      <c r="A1" s="14" t="s">
        <v>379</v>
      </c>
    </row>
    <row r="2" spans="1:7">
      <c r="A2" s="2" t="s">
        <v>380</v>
      </c>
    </row>
    <row r="3" spans="1:7">
      <c r="A3" s="2"/>
    </row>
    <row r="4" spans="1:7" s="1" customFormat="1" ht="32">
      <c r="A4" s="99" t="s">
        <v>426</v>
      </c>
      <c r="B4" s="103" t="s">
        <v>97</v>
      </c>
      <c r="C4" s="100" t="s">
        <v>427</v>
      </c>
      <c r="D4" s="130" t="s">
        <v>428</v>
      </c>
      <c r="E4" s="101" t="s">
        <v>1</v>
      </c>
      <c r="F4" s="102" t="s">
        <v>429</v>
      </c>
      <c r="G4" s="200"/>
    </row>
    <row r="5" spans="1:7" s="17" customFormat="1" ht="15" customHeight="1">
      <c r="A5" s="18">
        <v>0</v>
      </c>
      <c r="B5" s="225" t="s">
        <v>381</v>
      </c>
      <c r="C5" s="23" t="s">
        <v>382</v>
      </c>
      <c r="D5" s="19"/>
      <c r="E5" s="111">
        <v>1</v>
      </c>
      <c r="F5" s="127"/>
      <c r="G5" s="199"/>
    </row>
    <row r="6" spans="1:7" s="17" customFormat="1" ht="32">
      <c r="A6" s="20">
        <v>1</v>
      </c>
      <c r="B6" s="226"/>
      <c r="C6" s="24" t="s">
        <v>383</v>
      </c>
      <c r="D6" s="10" t="s">
        <v>384</v>
      </c>
      <c r="E6" s="109">
        <v>1</v>
      </c>
      <c r="F6" s="128"/>
      <c r="G6" s="199"/>
    </row>
    <row r="7" spans="1:7" s="17" customFormat="1" ht="32">
      <c r="A7" s="21">
        <v>2</v>
      </c>
      <c r="B7" s="227"/>
      <c r="C7" s="25" t="s">
        <v>385</v>
      </c>
      <c r="D7" s="22" t="s">
        <v>386</v>
      </c>
      <c r="E7" s="113">
        <v>1</v>
      </c>
      <c r="F7" s="129"/>
      <c r="G7" s="199"/>
    </row>
    <row r="8" spans="1:7" s="17" customFormat="1" ht="15" customHeight="1">
      <c r="A8" s="18">
        <v>0</v>
      </c>
      <c r="B8" s="225" t="s">
        <v>387</v>
      </c>
      <c r="C8" s="23" t="s">
        <v>388</v>
      </c>
      <c r="D8" s="19"/>
      <c r="E8" s="111">
        <v>0</v>
      </c>
      <c r="F8" s="127"/>
      <c r="G8" s="199"/>
    </row>
    <row r="9" spans="1:7" s="17" customFormat="1" ht="32">
      <c r="A9" s="20">
        <v>1</v>
      </c>
      <c r="B9" s="226"/>
      <c r="C9" s="24" t="s">
        <v>389</v>
      </c>
      <c r="D9" s="10" t="s">
        <v>384</v>
      </c>
      <c r="E9" s="109">
        <v>1</v>
      </c>
      <c r="F9" s="128"/>
      <c r="G9" s="199"/>
    </row>
    <row r="10" spans="1:7" s="17" customFormat="1" ht="32">
      <c r="A10" s="21">
        <v>2</v>
      </c>
      <c r="B10" s="227"/>
      <c r="C10" s="25" t="s">
        <v>390</v>
      </c>
      <c r="D10" s="22" t="s">
        <v>386</v>
      </c>
      <c r="E10" s="113">
        <v>1</v>
      </c>
      <c r="F10" s="129"/>
      <c r="G10" s="199"/>
    </row>
    <row r="11" spans="1:7" s="17" customFormat="1" ht="15" customHeight="1">
      <c r="A11" s="18">
        <v>1</v>
      </c>
      <c r="B11" s="225" t="s">
        <v>391</v>
      </c>
      <c r="C11" t="s">
        <v>392</v>
      </c>
      <c r="D11" s="44" t="s">
        <v>393</v>
      </c>
      <c r="E11" s="111">
        <v>1</v>
      </c>
      <c r="F11" s="127"/>
      <c r="G11" s="199"/>
    </row>
    <row r="12" spans="1:7" s="17" customFormat="1" ht="32">
      <c r="A12" s="20">
        <v>1</v>
      </c>
      <c r="B12" s="226"/>
      <c r="C12" s="24" t="s">
        <v>394</v>
      </c>
      <c r="D12" s="10" t="s">
        <v>395</v>
      </c>
      <c r="E12" s="109">
        <v>1</v>
      </c>
      <c r="F12" s="128"/>
      <c r="G12" s="199"/>
    </row>
    <row r="13" spans="1:7" s="17" customFormat="1" ht="32">
      <c r="A13" s="20">
        <v>1</v>
      </c>
      <c r="B13" s="226"/>
      <c r="C13" s="26" t="s">
        <v>396</v>
      </c>
      <c r="D13" s="10"/>
      <c r="E13" s="109">
        <v>1</v>
      </c>
      <c r="F13" s="128"/>
      <c r="G13" s="199"/>
    </row>
    <row r="14" spans="1:7" s="17" customFormat="1" ht="32">
      <c r="A14" s="20">
        <v>1</v>
      </c>
      <c r="B14" s="226"/>
      <c r="C14" s="26" t="s">
        <v>397</v>
      </c>
      <c r="D14" s="10"/>
      <c r="E14" s="109">
        <v>0</v>
      </c>
      <c r="F14" s="128"/>
      <c r="G14" s="199"/>
    </row>
    <row r="15" spans="1:7" s="17" customFormat="1" ht="48">
      <c r="A15" s="20">
        <v>1</v>
      </c>
      <c r="B15" s="226"/>
      <c r="C15" s="26" t="s">
        <v>398</v>
      </c>
      <c r="D15" s="10"/>
      <c r="E15" s="109">
        <v>0</v>
      </c>
      <c r="F15" s="128"/>
      <c r="G15" s="199"/>
    </row>
    <row r="16" spans="1:7" s="17" customFormat="1" ht="48">
      <c r="A16" s="21">
        <v>2</v>
      </c>
      <c r="B16" s="227"/>
      <c r="C16" s="25" t="s">
        <v>399</v>
      </c>
      <c r="D16" s="22"/>
      <c r="E16" s="113">
        <v>0</v>
      </c>
      <c r="F16" s="129"/>
      <c r="G16" s="199"/>
    </row>
    <row r="17" spans="2:7" s="17" customFormat="1">
      <c r="B17" s="9"/>
      <c r="C17" s="9"/>
      <c r="D17" s="9"/>
      <c r="G17" s="199"/>
    </row>
    <row r="18" spans="2:7">
      <c r="E18" s="83"/>
    </row>
  </sheetData>
  <sheetProtection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6553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topLeftCell="A6" workbookViewId="0">
      <selection activeCell="B5" sqref="B5:B11"/>
    </sheetView>
  </sheetViews>
  <sheetFormatPr baseColWidth="10" defaultColWidth="9.1640625" defaultRowHeight="15"/>
  <cols>
    <col min="1" max="1" width="9.1640625" style="4" customWidth="1"/>
    <col min="2" max="2" width="14.83203125" style="5" customWidth="1"/>
    <col min="3" max="3" width="56" style="5" customWidth="1"/>
    <col min="4" max="4" width="50.33203125" customWidth="1"/>
    <col min="6" max="6" width="38.83203125" customWidth="1"/>
    <col min="7" max="7" width="66.5" style="199" customWidth="1"/>
  </cols>
  <sheetData>
    <row r="1" spans="1:7" ht="16">
      <c r="A1" s="14" t="s">
        <v>400</v>
      </c>
      <c r="D1" s="5"/>
    </row>
    <row r="2" spans="1:7">
      <c r="A2" s="2" t="s">
        <v>380</v>
      </c>
      <c r="D2" s="5"/>
    </row>
    <row r="3" spans="1:7">
      <c r="A3" s="2"/>
      <c r="D3" s="5"/>
    </row>
    <row r="4" spans="1:7" s="139" customFormat="1" ht="32">
      <c r="A4" s="99" t="s">
        <v>426</v>
      </c>
      <c r="B4" s="103" t="s">
        <v>97</v>
      </c>
      <c r="C4" s="100" t="s">
        <v>427</v>
      </c>
      <c r="D4" s="130" t="s">
        <v>428</v>
      </c>
      <c r="E4" s="101" t="s">
        <v>1</v>
      </c>
      <c r="F4" s="102" t="s">
        <v>429</v>
      </c>
      <c r="G4" s="201"/>
    </row>
    <row r="5" spans="1:7" ht="32">
      <c r="A5" s="30">
        <v>1</v>
      </c>
      <c r="B5" s="225" t="s">
        <v>16</v>
      </c>
      <c r="C5" s="33" t="s">
        <v>401</v>
      </c>
      <c r="D5" s="19"/>
      <c r="E5" s="111">
        <v>0</v>
      </c>
      <c r="F5" s="127"/>
    </row>
    <row r="6" spans="1:7" ht="32">
      <c r="A6" s="31">
        <v>1</v>
      </c>
      <c r="B6" s="226"/>
      <c r="C6" s="34" t="s">
        <v>402</v>
      </c>
      <c r="D6" s="10"/>
      <c r="E6" s="109">
        <v>0</v>
      </c>
      <c r="F6" s="128"/>
    </row>
    <row r="7" spans="1:7" ht="32">
      <c r="A7" s="31">
        <v>1</v>
      </c>
      <c r="B7" s="226"/>
      <c r="C7" s="34" t="s">
        <v>403</v>
      </c>
      <c r="D7" s="10"/>
      <c r="E7" s="109">
        <v>0</v>
      </c>
      <c r="F7" s="128"/>
    </row>
    <row r="8" spans="1:7" ht="32">
      <c r="A8" s="31">
        <v>2</v>
      </c>
      <c r="B8" s="226"/>
      <c r="C8" s="35" t="s">
        <v>404</v>
      </c>
      <c r="D8" s="10" t="s">
        <v>405</v>
      </c>
      <c r="E8" s="109">
        <v>0</v>
      </c>
      <c r="F8" s="128"/>
    </row>
    <row r="9" spans="1:7" ht="48">
      <c r="A9" s="31">
        <v>2</v>
      </c>
      <c r="B9" s="226"/>
      <c r="C9" s="35" t="s">
        <v>406</v>
      </c>
      <c r="D9" s="39" t="s">
        <v>407</v>
      </c>
      <c r="E9" s="109">
        <v>0</v>
      </c>
      <c r="F9" s="128"/>
    </row>
    <row r="10" spans="1:7" ht="16">
      <c r="A10" s="31">
        <v>3</v>
      </c>
      <c r="B10" s="226"/>
      <c r="C10" s="34" t="s">
        <v>408</v>
      </c>
      <c r="D10" s="39"/>
      <c r="E10" s="109">
        <v>0</v>
      </c>
      <c r="F10" s="128"/>
    </row>
    <row r="11" spans="1:7" ht="16">
      <c r="A11" s="32">
        <v>5</v>
      </c>
      <c r="B11" s="227"/>
      <c r="C11" s="36" t="s">
        <v>409</v>
      </c>
      <c r="D11" s="22"/>
      <c r="E11" s="113">
        <v>0</v>
      </c>
      <c r="F11" s="129"/>
    </row>
    <row r="12" spans="1:7" ht="64">
      <c r="A12" s="30">
        <v>2</v>
      </c>
      <c r="B12" s="225" t="s">
        <v>410</v>
      </c>
      <c r="C12" s="23" t="s">
        <v>411</v>
      </c>
      <c r="D12" s="19"/>
      <c r="E12" s="111">
        <v>0</v>
      </c>
      <c r="F12" s="127"/>
    </row>
    <row r="13" spans="1:7" ht="32">
      <c r="A13" s="32">
        <v>3</v>
      </c>
      <c r="B13" s="227"/>
      <c r="C13" s="25" t="s">
        <v>412</v>
      </c>
      <c r="D13" s="22"/>
      <c r="E13" s="113">
        <v>0</v>
      </c>
      <c r="F13" s="129"/>
    </row>
    <row r="14" spans="1:7">
      <c r="D14" s="82"/>
      <c r="E14" s="84"/>
      <c r="F14" s="82"/>
    </row>
    <row r="15" spans="1:7">
      <c r="C15" s="3"/>
      <c r="D15" s="77"/>
      <c r="E15" s="83"/>
      <c r="F15" s="77"/>
    </row>
    <row r="16" spans="1:7">
      <c r="C16" s="3"/>
      <c r="D16" s="77"/>
      <c r="E16" s="83"/>
      <c r="F16" s="77"/>
    </row>
    <row r="17" spans="3:3">
      <c r="C17" s="3"/>
    </row>
  </sheetData>
  <sheetProtection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B6" workbookViewId="0">
      <selection activeCell="F6" sqref="F6"/>
    </sheetView>
  </sheetViews>
  <sheetFormatPr baseColWidth="10" defaultColWidth="9.1640625" defaultRowHeight="15"/>
  <cols>
    <col min="1" max="1" width="9.1640625" style="4" customWidth="1"/>
    <col min="2" max="2" width="14.83203125" style="5" customWidth="1"/>
    <col min="3" max="3" width="56" style="5" customWidth="1"/>
    <col min="4" max="4" width="50.33203125" customWidth="1"/>
    <col min="6" max="6" width="38.83203125" customWidth="1"/>
    <col min="7" max="7" width="56.1640625" style="199" customWidth="1"/>
  </cols>
  <sheetData>
    <row r="1" spans="1:7" ht="16">
      <c r="A1" s="14" t="s">
        <v>413</v>
      </c>
      <c r="D1" s="5"/>
    </row>
    <row r="2" spans="1:7">
      <c r="A2" s="2" t="s">
        <v>380</v>
      </c>
      <c r="D2" s="5"/>
    </row>
    <row r="3" spans="1:7">
      <c r="A3" s="2"/>
      <c r="D3" s="5"/>
    </row>
    <row r="4" spans="1:7" s="139" customFormat="1" ht="32">
      <c r="A4" s="99" t="s">
        <v>426</v>
      </c>
      <c r="B4" s="103" t="s">
        <v>97</v>
      </c>
      <c r="C4" s="100" t="s">
        <v>427</v>
      </c>
      <c r="D4" s="130" t="s">
        <v>428</v>
      </c>
      <c r="E4" s="101" t="s">
        <v>1</v>
      </c>
      <c r="F4" s="102" t="s">
        <v>429</v>
      </c>
      <c r="G4" s="201"/>
    </row>
    <row r="5" spans="1:7" s="17" customFormat="1" ht="30" customHeight="1">
      <c r="A5" s="28">
        <v>0</v>
      </c>
      <c r="B5" s="225" t="s">
        <v>414</v>
      </c>
      <c r="C5" s="41" t="s">
        <v>415</v>
      </c>
      <c r="D5" s="39" t="s">
        <v>425</v>
      </c>
      <c r="E5" s="109">
        <v>1</v>
      </c>
      <c r="F5" s="124"/>
      <c r="G5" s="199"/>
    </row>
    <row r="6" spans="1:7" s="17" customFormat="1" ht="48">
      <c r="A6" s="28">
        <v>0</v>
      </c>
      <c r="B6" s="226"/>
      <c r="C6" s="41" t="s">
        <v>416</v>
      </c>
      <c r="D6" s="45" t="s">
        <v>521</v>
      </c>
      <c r="E6" s="109">
        <v>0</v>
      </c>
      <c r="F6" s="124" t="s">
        <v>549</v>
      </c>
      <c r="G6" s="199"/>
    </row>
    <row r="7" spans="1:7" s="17" customFormat="1" ht="32">
      <c r="A7" s="27">
        <v>1</v>
      </c>
      <c r="B7" s="225" t="s">
        <v>417</v>
      </c>
      <c r="C7" s="42" t="s">
        <v>418</v>
      </c>
      <c r="D7" s="205" t="s">
        <v>522</v>
      </c>
      <c r="E7" s="111">
        <v>0</v>
      </c>
      <c r="F7" s="125"/>
      <c r="G7" s="199"/>
    </row>
    <row r="8" spans="1:7" s="17" customFormat="1" ht="32">
      <c r="A8" s="28">
        <v>2</v>
      </c>
      <c r="B8" s="226"/>
      <c r="C8" s="26" t="s">
        <v>419</v>
      </c>
      <c r="D8" s="206" t="s">
        <v>522</v>
      </c>
      <c r="E8" s="109">
        <v>0</v>
      </c>
      <c r="F8" s="124"/>
      <c r="G8" s="199"/>
    </row>
    <row r="9" spans="1:7" s="17" customFormat="1" ht="32">
      <c r="A9" s="28">
        <v>3</v>
      </c>
      <c r="B9" s="226"/>
      <c r="C9" s="41" t="s">
        <v>420</v>
      </c>
      <c r="D9" s="206" t="s">
        <v>522</v>
      </c>
      <c r="E9" s="109">
        <v>0</v>
      </c>
      <c r="F9" s="124"/>
      <c r="G9" s="199"/>
    </row>
    <row r="10" spans="1:7" s="17" customFormat="1" ht="32">
      <c r="A10" s="28">
        <v>3</v>
      </c>
      <c r="B10" s="226"/>
      <c r="C10" s="41" t="s">
        <v>421</v>
      </c>
      <c r="D10" s="206" t="s">
        <v>522</v>
      </c>
      <c r="E10" s="109">
        <v>0</v>
      </c>
      <c r="F10" s="124"/>
      <c r="G10" s="199"/>
    </row>
    <row r="11" spans="1:7" s="17" customFormat="1" ht="32">
      <c r="A11" s="29">
        <v>3</v>
      </c>
      <c r="B11" s="227"/>
      <c r="C11" s="43" t="s">
        <v>422</v>
      </c>
      <c r="D11" s="48" t="s">
        <v>523</v>
      </c>
      <c r="E11" s="113">
        <v>0</v>
      </c>
      <c r="F11" s="126"/>
      <c r="G11" s="199"/>
    </row>
    <row r="12" spans="1:7" s="17" customFormat="1" ht="32">
      <c r="A12" s="28">
        <v>2</v>
      </c>
      <c r="B12" s="226" t="s">
        <v>423</v>
      </c>
      <c r="C12" s="24" t="s">
        <v>424</v>
      </c>
      <c r="D12" s="28"/>
      <c r="E12" s="109">
        <v>0</v>
      </c>
      <c r="F12" s="124"/>
      <c r="G12" s="199"/>
    </row>
    <row r="13" spans="1:7" s="17" customFormat="1" ht="16">
      <c r="A13" s="196">
        <v>2</v>
      </c>
      <c r="B13" s="226"/>
      <c r="C13" s="26" t="s">
        <v>526</v>
      </c>
      <c r="D13" s="207" t="s">
        <v>525</v>
      </c>
      <c r="E13" s="109">
        <v>0</v>
      </c>
      <c r="F13" s="124"/>
      <c r="G13" s="199"/>
    </row>
    <row r="14" spans="1:7" s="17" customFormat="1" ht="32">
      <c r="A14" s="197">
        <v>2</v>
      </c>
      <c r="B14" s="227"/>
      <c r="C14" s="208" t="s">
        <v>524</v>
      </c>
      <c r="D14" s="210" t="s">
        <v>525</v>
      </c>
      <c r="E14" s="113">
        <v>0</v>
      </c>
      <c r="F14" s="126"/>
      <c r="G14" s="199"/>
    </row>
    <row r="15" spans="1:7">
      <c r="C15" s="3"/>
      <c r="D15" s="209"/>
    </row>
    <row r="16" spans="1:7">
      <c r="C16" s="3"/>
    </row>
  </sheetData>
  <sheetProtection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workbookViewId="0">
      <selection activeCell="C3" sqref="C3"/>
    </sheetView>
  </sheetViews>
  <sheetFormatPr baseColWidth="10" defaultColWidth="9.1640625" defaultRowHeight="15"/>
  <cols>
    <col min="1" max="1" width="9.1640625" style="4" customWidth="1"/>
    <col min="2" max="2" width="14.83203125" customWidth="1"/>
    <col min="3" max="3" width="56" style="5" customWidth="1"/>
    <col min="4" max="4" width="50.33203125" customWidth="1"/>
    <col min="6" max="6" width="38.83203125" customWidth="1"/>
    <col min="7" max="7" width="53.33203125" style="199" customWidth="1"/>
  </cols>
  <sheetData>
    <row r="1" spans="1:7" ht="16">
      <c r="A1" s="14" t="s">
        <v>430</v>
      </c>
      <c r="D1" s="5"/>
    </row>
    <row r="2" spans="1:7">
      <c r="A2" s="2" t="s">
        <v>380</v>
      </c>
      <c r="D2" s="5"/>
    </row>
    <row r="4" spans="1:7" s="139" customFormat="1" ht="32">
      <c r="A4" s="99" t="s">
        <v>426</v>
      </c>
      <c r="B4" s="103" t="s">
        <v>97</v>
      </c>
      <c r="C4" s="100" t="s">
        <v>427</v>
      </c>
      <c r="D4" s="130" t="s">
        <v>428</v>
      </c>
      <c r="E4" s="101" t="s">
        <v>1</v>
      </c>
      <c r="F4" s="102" t="s">
        <v>429</v>
      </c>
      <c r="G4" s="201"/>
    </row>
    <row r="5" spans="1:7" ht="32">
      <c r="A5" s="27">
        <v>0</v>
      </c>
      <c r="B5" s="228" t="s">
        <v>431</v>
      </c>
      <c r="C5" s="44" t="s">
        <v>432</v>
      </c>
      <c r="D5" s="27"/>
      <c r="E5" s="111">
        <v>0</v>
      </c>
      <c r="F5" s="121"/>
    </row>
    <row r="6" spans="1:7" ht="48">
      <c r="A6" s="29">
        <v>2</v>
      </c>
      <c r="B6" s="229"/>
      <c r="C6" s="47" t="s">
        <v>433</v>
      </c>
      <c r="D6" s="40" t="s">
        <v>407</v>
      </c>
      <c r="E6" s="113">
        <v>0</v>
      </c>
      <c r="F6" s="122"/>
    </row>
    <row r="7" spans="1:7" ht="30" customHeight="1">
      <c r="A7" s="45">
        <v>1</v>
      </c>
      <c r="B7" s="230" t="s">
        <v>434</v>
      </c>
      <c r="C7" s="38" t="s">
        <v>435</v>
      </c>
      <c r="D7" s="28"/>
      <c r="E7" s="109">
        <v>0</v>
      </c>
      <c r="F7" s="123"/>
    </row>
    <row r="8" spans="1:7" ht="16">
      <c r="A8" s="45">
        <v>1</v>
      </c>
      <c r="B8" s="230"/>
      <c r="C8" s="38" t="s">
        <v>436</v>
      </c>
      <c r="D8" s="28" t="s">
        <v>437</v>
      </c>
      <c r="E8" s="109">
        <v>0</v>
      </c>
      <c r="F8" s="123"/>
    </row>
    <row r="9" spans="1:7" ht="48">
      <c r="A9" s="45">
        <v>2</v>
      </c>
      <c r="B9" s="230"/>
      <c r="C9" s="38" t="s">
        <v>438</v>
      </c>
      <c r="D9" s="28" t="s">
        <v>437</v>
      </c>
      <c r="E9" s="109">
        <v>0</v>
      </c>
      <c r="F9" s="123"/>
    </row>
    <row r="10" spans="1:7" ht="32">
      <c r="A10" s="45">
        <v>3</v>
      </c>
      <c r="B10" s="230"/>
      <c r="C10" s="38" t="s">
        <v>439</v>
      </c>
      <c r="D10" s="28" t="s">
        <v>437</v>
      </c>
      <c r="E10" s="109">
        <v>0</v>
      </c>
      <c r="F10" s="123"/>
    </row>
    <row r="11" spans="1:7" ht="15" customHeight="1">
      <c r="A11" s="27">
        <v>1</v>
      </c>
      <c r="B11" s="228" t="s">
        <v>440</v>
      </c>
      <c r="C11" s="44" t="s">
        <v>441</v>
      </c>
      <c r="D11" s="27"/>
      <c r="E11" s="111">
        <v>0</v>
      </c>
      <c r="F11" s="121"/>
    </row>
    <row r="12" spans="1:7" ht="48">
      <c r="A12" s="28">
        <v>1</v>
      </c>
      <c r="B12" s="230"/>
      <c r="C12" s="39" t="s">
        <v>442</v>
      </c>
      <c r="D12" s="28"/>
      <c r="E12" s="109">
        <v>0</v>
      </c>
      <c r="F12" s="123"/>
    </row>
    <row r="13" spans="1:7" ht="32">
      <c r="A13" s="28">
        <v>1</v>
      </c>
      <c r="B13" s="230"/>
      <c r="C13" s="39" t="s">
        <v>443</v>
      </c>
      <c r="D13" s="39" t="s">
        <v>444</v>
      </c>
      <c r="E13" s="109">
        <v>0</v>
      </c>
      <c r="F13" s="123"/>
    </row>
    <row r="14" spans="1:7" ht="32">
      <c r="A14" s="28">
        <v>1</v>
      </c>
      <c r="B14" s="230"/>
      <c r="C14" s="39" t="s">
        <v>445</v>
      </c>
      <c r="D14" s="28" t="s">
        <v>446</v>
      </c>
      <c r="E14" s="109">
        <v>0</v>
      </c>
      <c r="F14" s="123"/>
    </row>
    <row r="15" spans="1:7" ht="32">
      <c r="A15" s="45">
        <v>1</v>
      </c>
      <c r="B15" s="230"/>
      <c r="C15" s="38" t="s">
        <v>447</v>
      </c>
      <c r="D15" s="46"/>
      <c r="E15" s="109">
        <v>0</v>
      </c>
      <c r="F15" s="123"/>
    </row>
    <row r="16" spans="1:7" ht="32">
      <c r="A16" s="45">
        <v>2</v>
      </c>
      <c r="B16" s="230"/>
      <c r="C16" s="38" t="s">
        <v>448</v>
      </c>
      <c r="D16" s="39" t="s">
        <v>449</v>
      </c>
      <c r="E16" s="109">
        <v>0</v>
      </c>
      <c r="F16" s="123"/>
    </row>
    <row r="17" spans="1:6" ht="32">
      <c r="A17" s="45">
        <v>3</v>
      </c>
      <c r="B17" s="230"/>
      <c r="C17" s="211" t="s">
        <v>527</v>
      </c>
      <c r="D17" s="28"/>
      <c r="E17" s="109">
        <v>0</v>
      </c>
      <c r="F17" s="123"/>
    </row>
    <row r="18" spans="1:6" ht="32">
      <c r="A18" s="45">
        <v>3</v>
      </c>
      <c r="B18" s="230"/>
      <c r="C18" s="39" t="s">
        <v>450</v>
      </c>
      <c r="D18" s="28" t="s">
        <v>446</v>
      </c>
      <c r="E18" s="109">
        <v>0</v>
      </c>
      <c r="F18" s="123"/>
    </row>
    <row r="19" spans="1:6" ht="32">
      <c r="A19" s="45">
        <v>4</v>
      </c>
      <c r="B19" s="230"/>
      <c r="C19" s="39" t="s">
        <v>451</v>
      </c>
      <c r="D19" s="28" t="s">
        <v>446</v>
      </c>
      <c r="E19" s="109">
        <v>0</v>
      </c>
      <c r="F19" s="123"/>
    </row>
    <row r="20" spans="1:6" ht="32">
      <c r="A20" s="48">
        <v>5</v>
      </c>
      <c r="B20" s="229"/>
      <c r="C20" s="40" t="s">
        <v>452</v>
      </c>
      <c r="D20" s="29" t="s">
        <v>446</v>
      </c>
      <c r="E20" s="113">
        <v>0</v>
      </c>
      <c r="F20" s="122"/>
    </row>
    <row r="21" spans="1:6" ht="48">
      <c r="A21" s="28">
        <v>1</v>
      </c>
      <c r="B21" s="230" t="s">
        <v>453</v>
      </c>
      <c r="C21" s="39" t="s">
        <v>454</v>
      </c>
      <c r="D21" s="28" t="s">
        <v>455</v>
      </c>
      <c r="E21" s="109">
        <v>0</v>
      </c>
      <c r="F21" s="123"/>
    </row>
    <row r="22" spans="1:6" ht="16">
      <c r="A22" s="29">
        <v>2</v>
      </c>
      <c r="B22" s="229"/>
      <c r="C22" s="47" t="s">
        <v>456</v>
      </c>
      <c r="D22" s="29"/>
      <c r="E22" s="113">
        <v>0</v>
      </c>
      <c r="F22" s="122"/>
    </row>
  </sheetData>
  <sheetProtection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A23" workbookViewId="0">
      <selection activeCell="E25" sqref="E25"/>
    </sheetView>
  </sheetViews>
  <sheetFormatPr baseColWidth="10" defaultColWidth="9.1640625" defaultRowHeight="15"/>
  <cols>
    <col min="1" max="1" width="9.1640625" style="4" customWidth="1"/>
    <col min="2" max="2" width="14.83203125" style="74" customWidth="1"/>
    <col min="3" max="3" width="56" style="5" customWidth="1"/>
    <col min="4" max="4" width="50.33203125" customWidth="1"/>
    <col min="6" max="6" width="38.83203125" customWidth="1"/>
    <col min="7" max="7" width="56.83203125" style="199" customWidth="1"/>
  </cols>
  <sheetData>
    <row r="1" spans="1:7" ht="16">
      <c r="A1" s="14" t="s">
        <v>457</v>
      </c>
      <c r="D1" s="5"/>
    </row>
    <row r="2" spans="1:7">
      <c r="A2" s="2" t="s">
        <v>380</v>
      </c>
      <c r="D2" s="5"/>
    </row>
    <row r="4" spans="1:7" s="139" customFormat="1" ht="32">
      <c r="A4" s="99" t="s">
        <v>426</v>
      </c>
      <c r="B4" s="103" t="s">
        <v>97</v>
      </c>
      <c r="C4" s="100" t="s">
        <v>427</v>
      </c>
      <c r="D4" s="130" t="s">
        <v>428</v>
      </c>
      <c r="E4" s="101" t="s">
        <v>1</v>
      </c>
      <c r="F4" s="102" t="s">
        <v>429</v>
      </c>
      <c r="G4" s="201"/>
    </row>
    <row r="5" spans="1:7" s="8" customFormat="1" ht="32">
      <c r="A5" s="66">
        <v>1</v>
      </c>
      <c r="B5" s="231" t="s">
        <v>458</v>
      </c>
      <c r="C5" s="41" t="s">
        <v>461</v>
      </c>
      <c r="D5" s="158"/>
      <c r="E5" s="115">
        <v>0</v>
      </c>
      <c r="F5" s="116"/>
      <c r="G5" s="202"/>
    </row>
    <row r="6" spans="1:7" s="8" customFormat="1" ht="48">
      <c r="A6" s="66">
        <v>1</v>
      </c>
      <c r="B6" s="232"/>
      <c r="C6" s="26" t="s">
        <v>462</v>
      </c>
      <c r="D6" s="162" t="s">
        <v>530</v>
      </c>
      <c r="E6" s="115">
        <v>0</v>
      </c>
      <c r="F6" s="116"/>
      <c r="G6" s="202"/>
    </row>
    <row r="7" spans="1:7" s="8" customFormat="1" ht="32">
      <c r="A7" s="66">
        <v>2</v>
      </c>
      <c r="B7" s="232"/>
      <c r="C7" s="26" t="s">
        <v>463</v>
      </c>
      <c r="D7" s="158"/>
      <c r="E7" s="115">
        <v>0</v>
      </c>
      <c r="F7" s="116"/>
      <c r="G7" s="202"/>
    </row>
    <row r="8" spans="1:7" s="8" customFormat="1" ht="16">
      <c r="A8" s="66">
        <v>2</v>
      </c>
      <c r="B8" s="232"/>
      <c r="C8" s="212" t="s">
        <v>528</v>
      </c>
      <c r="D8" s="158"/>
      <c r="E8" s="115">
        <v>1</v>
      </c>
      <c r="F8" s="116"/>
      <c r="G8" s="202"/>
    </row>
    <row r="9" spans="1:7" s="8" customFormat="1" ht="64">
      <c r="A9" s="67">
        <v>3</v>
      </c>
      <c r="B9" s="232"/>
      <c r="C9" s="41" t="s">
        <v>464</v>
      </c>
      <c r="D9" s="158"/>
      <c r="E9" s="115">
        <v>0</v>
      </c>
      <c r="F9" s="116"/>
      <c r="G9" s="202"/>
    </row>
    <row r="10" spans="1:7" s="8" customFormat="1" ht="32">
      <c r="A10" s="67">
        <v>3</v>
      </c>
      <c r="B10" s="232"/>
      <c r="C10" s="41" t="s">
        <v>465</v>
      </c>
      <c r="D10" s="158"/>
      <c r="E10" s="115">
        <v>0</v>
      </c>
      <c r="F10" s="116"/>
      <c r="G10" s="202"/>
    </row>
    <row r="11" spans="1:7" s="8" customFormat="1" ht="32">
      <c r="A11" s="67">
        <v>5</v>
      </c>
      <c r="B11" s="232"/>
      <c r="C11" s="72" t="s">
        <v>466</v>
      </c>
      <c r="D11" s="158"/>
      <c r="E11" s="115">
        <v>0</v>
      </c>
      <c r="F11" s="116"/>
      <c r="G11" s="202"/>
    </row>
    <row r="12" spans="1:7" s="8" customFormat="1" ht="30" customHeight="1">
      <c r="A12" s="70">
        <v>1</v>
      </c>
      <c r="B12" s="231" t="s">
        <v>459</v>
      </c>
      <c r="C12" s="76" t="s">
        <v>467</v>
      </c>
      <c r="D12" s="159"/>
      <c r="E12" s="117">
        <v>1</v>
      </c>
      <c r="F12" s="118"/>
      <c r="G12" s="202"/>
    </row>
    <row r="13" spans="1:7" s="8" customFormat="1" ht="32">
      <c r="A13" s="66">
        <v>2</v>
      </c>
      <c r="B13" s="232"/>
      <c r="C13" s="73" t="s">
        <v>468</v>
      </c>
      <c r="D13" s="158"/>
      <c r="E13" s="115">
        <v>1</v>
      </c>
      <c r="F13" s="116"/>
      <c r="G13" s="202"/>
    </row>
    <row r="14" spans="1:7" s="8" customFormat="1" ht="32">
      <c r="A14" s="66">
        <v>2</v>
      </c>
      <c r="B14" s="232"/>
      <c r="C14" s="73" t="s">
        <v>469</v>
      </c>
      <c r="D14" s="158"/>
      <c r="E14" s="115">
        <v>1</v>
      </c>
      <c r="F14" s="116"/>
      <c r="G14" s="202"/>
    </row>
    <row r="15" spans="1:7" s="8" customFormat="1" ht="48">
      <c r="A15" s="66">
        <v>3</v>
      </c>
      <c r="B15" s="232"/>
      <c r="C15" s="24" t="s">
        <v>470</v>
      </c>
      <c r="D15" s="158" t="s">
        <v>471</v>
      </c>
      <c r="E15" s="115">
        <v>1</v>
      </c>
      <c r="F15" s="116"/>
      <c r="G15" s="202"/>
    </row>
    <row r="16" spans="1:7" s="8" customFormat="1" ht="32">
      <c r="A16" s="66">
        <v>4</v>
      </c>
      <c r="B16" s="232"/>
      <c r="C16" s="24" t="s">
        <v>472</v>
      </c>
      <c r="D16" s="158"/>
      <c r="E16" s="115">
        <v>1</v>
      </c>
      <c r="F16" s="116"/>
      <c r="G16" s="202"/>
    </row>
    <row r="17" spans="1:7" s="8" customFormat="1" ht="32">
      <c r="A17" s="71">
        <v>5</v>
      </c>
      <c r="B17" s="233"/>
      <c r="C17" s="25" t="s">
        <v>473</v>
      </c>
      <c r="D17" s="160"/>
      <c r="E17" s="119">
        <v>1</v>
      </c>
      <c r="F17" s="120"/>
      <c r="G17" s="202"/>
    </row>
    <row r="18" spans="1:7" s="8" customFormat="1" ht="30" customHeight="1">
      <c r="A18" s="67">
        <v>1</v>
      </c>
      <c r="B18" s="231" t="s">
        <v>460</v>
      </c>
      <c r="C18" s="24" t="s">
        <v>474</v>
      </c>
      <c r="D18" s="158"/>
      <c r="E18" s="115">
        <v>0</v>
      </c>
      <c r="F18" s="116"/>
      <c r="G18" s="202"/>
    </row>
    <row r="19" spans="1:7" s="8" customFormat="1" ht="32">
      <c r="A19" s="67">
        <v>1</v>
      </c>
      <c r="B19" s="232"/>
      <c r="C19" s="24" t="s">
        <v>475</v>
      </c>
      <c r="D19" s="158"/>
      <c r="E19" s="115">
        <v>0</v>
      </c>
      <c r="F19" s="116"/>
      <c r="G19" s="202"/>
    </row>
    <row r="20" spans="1:7" s="8" customFormat="1" ht="32">
      <c r="A20" s="67">
        <v>2</v>
      </c>
      <c r="B20" s="232"/>
      <c r="C20" s="73" t="s">
        <v>476</v>
      </c>
      <c r="D20" s="158" t="s">
        <v>477</v>
      </c>
      <c r="E20" s="115">
        <v>0</v>
      </c>
      <c r="F20" s="116"/>
      <c r="G20" s="202"/>
    </row>
    <row r="21" spans="1:7" s="8" customFormat="1" ht="32">
      <c r="A21" s="68">
        <v>2</v>
      </c>
      <c r="B21" s="232"/>
      <c r="C21" s="73" t="s">
        <v>478</v>
      </c>
      <c r="D21" s="158"/>
      <c r="E21" s="115">
        <v>0</v>
      </c>
      <c r="F21" s="116"/>
      <c r="G21" s="202"/>
    </row>
    <row r="22" spans="1:7" s="8" customFormat="1" ht="16">
      <c r="A22" s="68">
        <v>3</v>
      </c>
      <c r="B22" s="232"/>
      <c r="C22" s="24" t="s">
        <v>479</v>
      </c>
      <c r="D22" s="158" t="s">
        <v>480</v>
      </c>
      <c r="E22" s="115">
        <v>0</v>
      </c>
      <c r="F22" s="116"/>
      <c r="G22" s="202"/>
    </row>
    <row r="23" spans="1:7" s="8" customFormat="1" ht="32">
      <c r="A23" s="66">
        <v>3</v>
      </c>
      <c r="B23" s="232"/>
      <c r="C23" s="41" t="s">
        <v>481</v>
      </c>
      <c r="D23" s="158" t="s">
        <v>482</v>
      </c>
      <c r="E23" s="115">
        <v>1</v>
      </c>
      <c r="F23" s="116"/>
      <c r="G23" s="202"/>
    </row>
    <row r="24" spans="1:7" s="8" customFormat="1" ht="48">
      <c r="A24" s="66">
        <v>3</v>
      </c>
      <c r="B24" s="232"/>
      <c r="C24" s="41" t="s">
        <v>483</v>
      </c>
      <c r="D24" s="162" t="s">
        <v>484</v>
      </c>
      <c r="E24" s="115">
        <v>1</v>
      </c>
      <c r="F24" s="116"/>
      <c r="G24" s="202"/>
    </row>
    <row r="25" spans="1:7" s="8" customFormat="1" ht="16">
      <c r="A25" s="66">
        <v>4</v>
      </c>
      <c r="B25" s="232"/>
      <c r="C25" s="24" t="s">
        <v>485</v>
      </c>
      <c r="D25" s="158"/>
      <c r="E25" s="115">
        <v>1</v>
      </c>
      <c r="F25" s="116"/>
      <c r="G25" s="202"/>
    </row>
    <row r="26" spans="1:7" s="8" customFormat="1" ht="48">
      <c r="A26" s="66">
        <v>4</v>
      </c>
      <c r="B26" s="232"/>
      <c r="C26" s="24" t="s">
        <v>486</v>
      </c>
      <c r="D26" s="158"/>
      <c r="E26" s="115">
        <v>0</v>
      </c>
      <c r="F26" s="116"/>
      <c r="G26" s="202"/>
    </row>
    <row r="27" spans="1:7" s="8" customFormat="1" ht="16">
      <c r="A27" s="66">
        <v>4</v>
      </c>
      <c r="B27" s="232"/>
      <c r="C27" s="24" t="s">
        <v>487</v>
      </c>
      <c r="D27" s="158"/>
      <c r="E27" s="115">
        <v>0</v>
      </c>
      <c r="F27" s="116"/>
      <c r="G27" s="202"/>
    </row>
    <row r="28" spans="1:7" s="8" customFormat="1" ht="32">
      <c r="A28" s="66">
        <v>4</v>
      </c>
      <c r="B28" s="232"/>
      <c r="C28" s="24" t="s">
        <v>488</v>
      </c>
      <c r="D28" s="158"/>
      <c r="E28" s="115">
        <v>0</v>
      </c>
      <c r="F28" s="116"/>
      <c r="G28" s="202"/>
    </row>
    <row r="29" spans="1:7" s="8" customFormat="1" ht="16">
      <c r="A29" s="69">
        <v>5</v>
      </c>
      <c r="B29" s="233"/>
      <c r="C29" s="25" t="s">
        <v>489</v>
      </c>
      <c r="D29" s="161"/>
      <c r="E29" s="119">
        <v>0</v>
      </c>
      <c r="F29" s="120"/>
      <c r="G29" s="202"/>
    </row>
    <row r="30" spans="1:7" s="8" customFormat="1">
      <c r="A30" s="13"/>
      <c r="B30" s="75"/>
      <c r="C30" s="12"/>
      <c r="G30" s="202"/>
    </row>
    <row r="31" spans="1:7" s="8" customFormat="1">
      <c r="A31" s="13"/>
      <c r="B31" s="75"/>
      <c r="C31" s="12"/>
      <c r="G31" s="202"/>
    </row>
    <row r="32" spans="1:7" s="8" customFormat="1">
      <c r="A32" s="13"/>
      <c r="B32" s="75"/>
      <c r="C32" s="12"/>
      <c r="G32" s="202"/>
    </row>
    <row r="33" spans="1:7" s="8" customFormat="1">
      <c r="A33" s="13"/>
      <c r="B33" s="75"/>
      <c r="C33" s="12"/>
      <c r="G33" s="202"/>
    </row>
  </sheetData>
  <sheetProtection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E7" sqref="E7"/>
    </sheetView>
  </sheetViews>
  <sheetFormatPr baseColWidth="10" defaultColWidth="9.1640625" defaultRowHeight="15"/>
  <cols>
    <col min="1" max="1" width="9.1640625" style="4" customWidth="1"/>
    <col min="2" max="2" width="2.6640625" customWidth="1"/>
    <col min="3" max="3" width="56" style="5" customWidth="1"/>
    <col min="4" max="4" width="50.33203125" customWidth="1"/>
    <col min="6" max="6" width="38.83203125" customWidth="1"/>
    <col min="7" max="7" width="53.1640625" style="199" customWidth="1"/>
  </cols>
  <sheetData>
    <row r="1" spans="1:7" ht="16">
      <c r="A1" s="14" t="s">
        <v>490</v>
      </c>
      <c r="D1" s="5"/>
    </row>
    <row r="2" spans="1:7">
      <c r="A2" s="2" t="s">
        <v>380</v>
      </c>
      <c r="D2" s="5"/>
    </row>
    <row r="4" spans="1:7" s="139" customFormat="1" ht="32">
      <c r="A4" s="99" t="s">
        <v>426</v>
      </c>
      <c r="B4" s="103" t="s">
        <v>97</v>
      </c>
      <c r="C4" s="100" t="s">
        <v>427</v>
      </c>
      <c r="D4" s="130" t="s">
        <v>428</v>
      </c>
      <c r="E4" s="101" t="s">
        <v>1</v>
      </c>
      <c r="F4" s="102" t="s">
        <v>429</v>
      </c>
      <c r="G4" s="201"/>
    </row>
    <row r="5" spans="1:7" ht="32">
      <c r="A5" s="31">
        <v>1</v>
      </c>
      <c r="B5" s="79"/>
      <c r="C5" s="24" t="s">
        <v>491</v>
      </c>
      <c r="D5" s="77" t="s">
        <v>493</v>
      </c>
      <c r="E5" s="109">
        <v>0</v>
      </c>
      <c r="F5" s="110"/>
    </row>
    <row r="6" spans="1:7" ht="32">
      <c r="A6" s="31">
        <v>3</v>
      </c>
      <c r="B6" s="80"/>
      <c r="C6" s="24" t="s">
        <v>492</v>
      </c>
      <c r="D6" s="213" t="s">
        <v>529</v>
      </c>
      <c r="E6" s="109">
        <v>0</v>
      </c>
      <c r="F6" s="110"/>
    </row>
    <row r="7" spans="1:7" ht="32">
      <c r="A7" s="32">
        <v>3</v>
      </c>
      <c r="B7" s="81"/>
      <c r="C7" s="25" t="s">
        <v>450</v>
      </c>
      <c r="D7" s="78"/>
      <c r="E7" s="113">
        <v>1</v>
      </c>
      <c r="F7" s="114"/>
    </row>
    <row r="10" spans="1:7">
      <c r="B10" s="6"/>
      <c r="C10" s="7"/>
    </row>
    <row r="15" spans="1:7">
      <c r="B15" s="6"/>
    </row>
    <row r="18" spans="3:3">
      <c r="C18" s="3"/>
    </row>
    <row r="19" spans="3:3">
      <c r="C19" s="3"/>
    </row>
    <row r="20" spans="3:3">
      <c r="C20" s="3"/>
    </row>
  </sheetData>
  <sheetProtection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lpstr>Feuil1</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2015-06-09T18:09:29Z</cp:lastPrinted>
  <dcterms:created xsi:type="dcterms:W3CDTF">2015-04-17T07:47:18Z</dcterms:created>
  <dcterms:modified xsi:type="dcterms:W3CDTF">2019-12-09T08:13:13Z</dcterms:modified>
</cp:coreProperties>
</file>