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2"/>
  <workbookPr hidePivotFieldList="1" autoCompressPictures="0"/>
  <mc:AlternateContent xmlns:mc="http://schemas.openxmlformats.org/markup-compatibility/2006">
    <mc:Choice Requires="x15">
      <x15ac:absPath xmlns:x15ac="http://schemas.microsoft.com/office/spreadsheetml/2010/11/ac" url="/Users/andrecoetzer/Downloads/"/>
    </mc:Choice>
  </mc:AlternateContent>
  <xr:revisionPtr revIDLastSave="0" documentId="13_ncr:1_{1AF1A960-9B89-5C4D-8FA1-2E6834A9854B}" xr6:coauthVersionLast="45" xr6:coauthVersionMax="45" xr10:uidLastSave="{00000000-0000-0000-0000-000000000000}"/>
  <bookViews>
    <workbookView xWindow="0" yWindow="460" windowWidth="19440" windowHeight="12240" tabRatio="917" activeTab="1" xr2:uid="{00000000-000D-0000-FFFF-FFFF00000000}"/>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91029"/>
  <pivotCaches>
    <pivotCache cacheId="4"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7" i="15" s="1" a="1"/>
  <c r="C47" i="15" s="1"/>
  <c r="C48" i="15" a="1"/>
  <c r="C48" i="15" s="1"/>
  <c r="C50" i="15" a="1"/>
  <c r="C50" i="15" s="1"/>
  <c r="C51" i="15" a="1"/>
  <c r="C52" i="15" a="1"/>
  <c r="C54" i="15" a="1"/>
  <c r="C54" i="15" s="1"/>
  <c r="C55" i="15" a="1"/>
  <c r="C51" i="15"/>
  <c r="C52" i="15"/>
  <c r="C55" i="15"/>
  <c r="S49" i="15"/>
  <c r="U47" i="15" s="1" a="1"/>
  <c r="U47" i="15" s="1"/>
  <c r="U48" i="15" a="1"/>
  <c r="U48" i="15" s="1"/>
  <c r="U51" i="15" a="1"/>
  <c r="U51" i="15" s="1"/>
  <c r="U52" i="15" a="1"/>
  <c r="U55" i="15" a="1"/>
  <c r="U55" i="15" s="1"/>
  <c r="U52" i="15"/>
  <c r="G49" i="15"/>
  <c r="D49" i="15"/>
  <c r="F47" i="15" a="1"/>
  <c r="F47" i="15" s="1"/>
  <c r="F48" i="15" a="1"/>
  <c r="F48" i="15" s="1"/>
  <c r="F49" i="15" a="1"/>
  <c r="F49" i="15" s="1"/>
  <c r="F50" i="15" a="1"/>
  <c r="F51" i="15" a="1"/>
  <c r="F52" i="15" a="1"/>
  <c r="F53" i="15" a="1"/>
  <c r="F53" i="15" s="1"/>
  <c r="F54" i="15" a="1"/>
  <c r="F55" i="15" a="1"/>
  <c r="F50" i="15"/>
  <c r="F51" i="15"/>
  <c r="F52" i="15"/>
  <c r="F54" i="15"/>
  <c r="F55" i="15"/>
  <c r="J49" i="15"/>
  <c r="L47" i="15" s="1" a="1"/>
  <c r="L47" i="15"/>
  <c r="L48" i="15" a="1"/>
  <c r="L48" i="15" s="1"/>
  <c r="L50" i="15" a="1"/>
  <c r="L50" i="15" s="1"/>
  <c r="L51" i="15" a="1"/>
  <c r="L52" i="15" a="1"/>
  <c r="L54" i="15" a="1"/>
  <c r="L54" i="15" s="1"/>
  <c r="L55" i="15" a="1"/>
  <c r="L51" i="15"/>
  <c r="L52" i="15"/>
  <c r="L55" i="15"/>
  <c r="M49" i="15"/>
  <c r="O47" i="15" s="1" a="1"/>
  <c r="O47" i="15" s="1"/>
  <c r="O48" i="15" a="1"/>
  <c r="O48" i="15" s="1"/>
  <c r="O51" i="15" a="1"/>
  <c r="O51" i="15" s="1"/>
  <c r="O52" i="15" a="1"/>
  <c r="O55" i="15" a="1"/>
  <c r="O55" i="15" s="1"/>
  <c r="O52" i="15"/>
  <c r="P49" i="15"/>
  <c r="I7" i="7"/>
  <c r="J7" i="7" s="1"/>
  <c r="G8" i="15"/>
  <c r="I6" i="15" s="1" a="1"/>
  <c r="I6" i="15"/>
  <c r="I7" i="15" a="1"/>
  <c r="I7" i="15" s="1"/>
  <c r="I9" i="15" a="1"/>
  <c r="I9" i="15" s="1"/>
  <c r="I10" i="15" a="1"/>
  <c r="I10" i="15"/>
  <c r="J8" i="15"/>
  <c r="L7" i="15" s="1" a="1"/>
  <c r="L7" i="15" s="1"/>
  <c r="L10" i="15" a="1"/>
  <c r="L10" i="15" s="1"/>
  <c r="M8" i="15"/>
  <c r="O6" i="15" s="1" a="1"/>
  <c r="O6" i="15" s="1"/>
  <c r="P8" i="15"/>
  <c r="R6" i="15" a="1"/>
  <c r="R6" i="15"/>
  <c r="R7" i="15" a="1"/>
  <c r="R7" i="15" s="1"/>
  <c r="R8" i="15" a="1"/>
  <c r="R8" i="15" s="1"/>
  <c r="R9" i="15" a="1"/>
  <c r="R10" i="15" a="1"/>
  <c r="R9" i="15"/>
  <c r="R10" i="15"/>
  <c r="S8" i="15"/>
  <c r="U6" i="15" s="1" a="1"/>
  <c r="U6" i="15" s="1"/>
  <c r="U7" i="15" a="1"/>
  <c r="U7" i="15" s="1"/>
  <c r="U9" i="15" a="1"/>
  <c r="U9" i="15" s="1"/>
  <c r="U10" i="15" a="1"/>
  <c r="U10" i="15" s="1"/>
  <c r="A8" i="15"/>
  <c r="C7" i="15" a="1"/>
  <c r="C7" i="15" s="1"/>
  <c r="C10" i="15" a="1"/>
  <c r="C10" i="15" s="1"/>
  <c r="D8" i="15"/>
  <c r="J8" i="7"/>
  <c r="J13" i="15"/>
  <c r="L12" i="15" a="1"/>
  <c r="L12" i="15" s="1"/>
  <c r="L15" i="15" a="1"/>
  <c r="L15" i="15" s="1"/>
  <c r="L16" i="15" a="1"/>
  <c r="L19" i="15" a="1"/>
  <c r="L19" i="15" s="1"/>
  <c r="L16" i="15"/>
  <c r="M13" i="15"/>
  <c r="O11" i="15" s="1" a="1"/>
  <c r="O11" i="15" s="1"/>
  <c r="O16" i="15" a="1"/>
  <c r="O16" i="15" s="1"/>
  <c r="P13" i="15"/>
  <c r="R11" i="15" a="1"/>
  <c r="R11" i="15"/>
  <c r="R12" i="15" a="1"/>
  <c r="R12" i="15" s="1"/>
  <c r="R13" i="15" a="1"/>
  <c r="R13" i="15" s="1"/>
  <c r="R14" i="15" a="1"/>
  <c r="R14" i="15" s="1"/>
  <c r="R15" i="15" a="1"/>
  <c r="R16" i="15" a="1"/>
  <c r="R17" i="15" a="1"/>
  <c r="R17" i="15" s="1"/>
  <c r="R18" i="15" a="1"/>
  <c r="R19" i="15" a="1"/>
  <c r="R15" i="15"/>
  <c r="R16" i="15"/>
  <c r="R18" i="15"/>
  <c r="R19" i="15"/>
  <c r="S13" i="15"/>
  <c r="U11" i="15" s="1" a="1"/>
  <c r="U11" i="15" s="1"/>
  <c r="U12" i="15" a="1"/>
  <c r="U12" i="15" s="1"/>
  <c r="U14" i="15" a="1"/>
  <c r="U14" i="15" s="1"/>
  <c r="U15" i="15" a="1"/>
  <c r="U16" i="15" a="1"/>
  <c r="U16" i="15" s="1"/>
  <c r="U18" i="15" a="1"/>
  <c r="U18" i="15" s="1"/>
  <c r="U19" i="15" a="1"/>
  <c r="U19" i="15" s="1"/>
  <c r="U15" i="15"/>
  <c r="A13" i="15"/>
  <c r="C11" i="15" s="1" a="1"/>
  <c r="C11" i="15" s="1"/>
  <c r="C12" i="15" a="1"/>
  <c r="C12" i="15" s="1"/>
  <c r="C13" i="15" a="1"/>
  <c r="C13" i="15" s="1"/>
  <c r="C16" i="15" a="1"/>
  <c r="C16" i="15" s="1"/>
  <c r="C19" i="15" a="1"/>
  <c r="C19" i="15" s="1"/>
  <c r="D13" i="15"/>
  <c r="F13" i="15" a="1"/>
  <c r="F13" i="15" s="1"/>
  <c r="F18" i="15" a="1"/>
  <c r="F18" i="15" s="1"/>
  <c r="G13" i="15"/>
  <c r="I11" i="15" a="1"/>
  <c r="I11" i="15" s="1"/>
  <c r="I12" i="15" a="1"/>
  <c r="I12" i="15" s="1"/>
  <c r="I13" i="15" a="1"/>
  <c r="I13" i="15" s="1"/>
  <c r="I14" i="15" a="1"/>
  <c r="I14" i="15" s="1"/>
  <c r="I15" i="15" a="1"/>
  <c r="I15" i="15" s="1"/>
  <c r="I16" i="15" a="1"/>
  <c r="I17" i="15" a="1"/>
  <c r="I17" i="15" s="1"/>
  <c r="I18" i="15" a="1"/>
  <c r="I18" i="15" s="1"/>
  <c r="I19" i="15" a="1"/>
  <c r="I16" i="15"/>
  <c r="I19" i="15"/>
  <c r="J9" i="7"/>
  <c r="J10" i="7"/>
  <c r="I11" i="7"/>
  <c r="M22" i="15"/>
  <c r="O21" i="15" a="1"/>
  <c r="O21" i="15"/>
  <c r="O23" i="15" a="1"/>
  <c r="O23" i="15" s="1"/>
  <c r="O24" i="15" a="1"/>
  <c r="O24" i="15" s="1"/>
  <c r="O25" i="15" a="1"/>
  <c r="O27" i="15" a="1"/>
  <c r="O27" i="15" s="1"/>
  <c r="O28" i="15" a="1"/>
  <c r="O25" i="15"/>
  <c r="O28" i="15"/>
  <c r="P22" i="15"/>
  <c r="R21" i="15" s="1" a="1"/>
  <c r="R20" i="15" a="1"/>
  <c r="R20" i="15" s="1"/>
  <c r="R21" i="15"/>
  <c r="R22" i="15" a="1"/>
  <c r="R23" i="15" a="1"/>
  <c r="R23" i="15" s="1"/>
  <c r="R25" i="15" a="1"/>
  <c r="R25" i="15" s="1"/>
  <c r="R26" i="15" a="1"/>
  <c r="R27" i="15" a="1"/>
  <c r="R27" i="15" s="1"/>
  <c r="R22" i="15"/>
  <c r="R26" i="15"/>
  <c r="S22" i="15"/>
  <c r="U20" i="15" a="1"/>
  <c r="U20" i="15" s="1"/>
  <c r="U21" i="15" a="1"/>
  <c r="U21" i="15" s="1"/>
  <c r="U22" i="15" a="1"/>
  <c r="U22" i="15" s="1"/>
  <c r="U23" i="15" a="1"/>
  <c r="U24" i="15" a="1"/>
  <c r="U24" i="15" s="1"/>
  <c r="U25" i="15" a="1"/>
  <c r="U26" i="15" a="1"/>
  <c r="U26" i="15" s="1"/>
  <c r="U27" i="15" a="1"/>
  <c r="U28" i="15" a="1"/>
  <c r="U28" i="15" s="1"/>
  <c r="U23" i="15"/>
  <c r="U25" i="15"/>
  <c r="U27" i="15"/>
  <c r="J22" i="15"/>
  <c r="L27" i="15" s="1" a="1"/>
  <c r="L27" i="15" s="1"/>
  <c r="L23" i="15" a="1"/>
  <c r="L23" i="15" s="1"/>
  <c r="L25" i="15" a="1"/>
  <c r="L25" i="15" s="1"/>
  <c r="A22" i="15"/>
  <c r="C23" i="15" s="1" a="1"/>
  <c r="C20" i="15" a="1"/>
  <c r="C20" i="15" s="1"/>
  <c r="C21" i="15" a="1"/>
  <c r="C21" i="15" s="1"/>
  <c r="C22" i="15" a="1"/>
  <c r="C22" i="15" s="1"/>
  <c r="C24" i="15" a="1"/>
  <c r="C24" i="15" s="1"/>
  <c r="C25" i="15" a="1"/>
  <c r="C26" i="15" a="1"/>
  <c r="C26" i="15" s="1"/>
  <c r="C28" i="15" a="1"/>
  <c r="C28" i="15" s="1"/>
  <c r="C23" i="15"/>
  <c r="C25" i="15"/>
  <c r="D22" i="15"/>
  <c r="F27" i="15" s="1" a="1"/>
  <c r="F27" i="15" s="1"/>
  <c r="F23" i="15" a="1"/>
  <c r="F23" i="15" s="1"/>
  <c r="F25" i="15" a="1"/>
  <c r="F25" i="15" s="1"/>
  <c r="G22" i="15"/>
  <c r="I20" i="15" a="1"/>
  <c r="I20" i="15" s="1"/>
  <c r="I21" i="15" a="1"/>
  <c r="I21" i="15" s="1"/>
  <c r="I22" i="15" a="1"/>
  <c r="I22" i="15" s="1"/>
  <c r="I23" i="15" a="1"/>
  <c r="I24" i="15" a="1"/>
  <c r="I24" i="15" s="1"/>
  <c r="I25" i="15" a="1"/>
  <c r="I26" i="15" a="1"/>
  <c r="I26" i="15" s="1"/>
  <c r="I27" i="15" a="1"/>
  <c r="I28" i="15" a="1"/>
  <c r="I28" i="15" s="1"/>
  <c r="I23" i="15"/>
  <c r="I25" i="15"/>
  <c r="I27" i="15"/>
  <c r="J12" i="7"/>
  <c r="I13" i="7"/>
  <c r="J31" i="15"/>
  <c r="L34" i="15" a="1"/>
  <c r="L34" i="15" s="1"/>
  <c r="M31" i="15"/>
  <c r="O32" i="15" s="1" a="1"/>
  <c r="O29" i="15" a="1"/>
  <c r="O29" i="15" s="1"/>
  <c r="O30" i="15" a="1"/>
  <c r="O30" i="15" s="1"/>
  <c r="O31" i="15" a="1"/>
  <c r="O31" i="15" s="1"/>
  <c r="O33" i="15" a="1"/>
  <c r="O33" i="15" s="1"/>
  <c r="O34" i="15" a="1"/>
  <c r="O35" i="15" a="1"/>
  <c r="O35" i="15" s="1"/>
  <c r="O37" i="15" a="1"/>
  <c r="O37" i="15" s="1"/>
  <c r="O32" i="15"/>
  <c r="O34" i="15"/>
  <c r="P31" i="15"/>
  <c r="R36" i="15" s="1" a="1"/>
  <c r="R36" i="15" s="1"/>
  <c r="R32" i="15" a="1"/>
  <c r="R32" i="15" s="1"/>
  <c r="R34" i="15" a="1"/>
  <c r="R34" i="15" s="1"/>
  <c r="S31" i="15"/>
  <c r="U29" i="15" a="1"/>
  <c r="U29" i="15" s="1"/>
  <c r="U30" i="15" a="1"/>
  <c r="U30" i="15" s="1"/>
  <c r="U31" i="15" a="1"/>
  <c r="U31" i="15" s="1"/>
  <c r="U32" i="15" a="1"/>
  <c r="U33" i="15" a="1"/>
  <c r="U33" i="15" s="1"/>
  <c r="U34" i="15" a="1"/>
  <c r="U35" i="15" a="1"/>
  <c r="U35" i="15" s="1"/>
  <c r="U36" i="15" a="1"/>
  <c r="U37" i="15" a="1"/>
  <c r="U37" i="15" s="1"/>
  <c r="U32" i="15"/>
  <c r="U34" i="15"/>
  <c r="U36" i="15"/>
  <c r="A31" i="15"/>
  <c r="C34" i="15" a="1"/>
  <c r="C34" i="15" s="1"/>
  <c r="D31" i="15"/>
  <c r="F32" i="15" s="1" a="1"/>
  <c r="F29" i="15" a="1"/>
  <c r="F29" i="15" s="1"/>
  <c r="F30" i="15" a="1"/>
  <c r="F30" i="15" s="1"/>
  <c r="F31" i="15" a="1"/>
  <c r="F31" i="15" s="1"/>
  <c r="F33" i="15" a="1"/>
  <c r="F33" i="15" s="1"/>
  <c r="F34" i="15" a="1"/>
  <c r="F35" i="15" a="1"/>
  <c r="F35" i="15" s="1"/>
  <c r="F37" i="15" a="1"/>
  <c r="F37" i="15" s="1"/>
  <c r="F32" i="15"/>
  <c r="F34" i="15"/>
  <c r="G31" i="15"/>
  <c r="I36" i="15" s="1" a="1"/>
  <c r="I36" i="15" s="1"/>
  <c r="I32" i="15" a="1"/>
  <c r="I32" i="15" s="1"/>
  <c r="I34" i="15" a="1"/>
  <c r="I34" i="15" s="1"/>
  <c r="I15" i="7"/>
  <c r="G40" i="15"/>
  <c r="I45" i="15" s="1" a="1"/>
  <c r="I45" i="15" s="1"/>
  <c r="I41" i="15" a="1"/>
  <c r="I41" i="15" s="1"/>
  <c r="I43" i="15" a="1"/>
  <c r="I43" i="15" s="1"/>
  <c r="J40" i="15"/>
  <c r="L41" i="15" s="1" a="1"/>
  <c r="L38" i="15" a="1"/>
  <c r="L38" i="15" s="1"/>
  <c r="L39" i="15" a="1"/>
  <c r="L39" i="15" s="1"/>
  <c r="L40" i="15" a="1"/>
  <c r="L40" i="15" s="1"/>
  <c r="L42" i="15" a="1"/>
  <c r="L42" i="15" s="1"/>
  <c r="L43" i="15" a="1"/>
  <c r="L44" i="15" a="1"/>
  <c r="L44" i="15" s="1"/>
  <c r="L46" i="15" a="1"/>
  <c r="L46" i="15" s="1"/>
  <c r="L41" i="15"/>
  <c r="L43" i="15"/>
  <c r="M40" i="15"/>
  <c r="O45" i="15" s="1" a="1"/>
  <c r="O45" i="15" s="1"/>
  <c r="O41" i="15" a="1"/>
  <c r="O41" i="15" s="1"/>
  <c r="O43" i="15" a="1"/>
  <c r="O43" i="15" s="1"/>
  <c r="P40" i="15"/>
  <c r="R38" i="15" a="1"/>
  <c r="R38" i="15" s="1"/>
  <c r="R39" i="15" a="1"/>
  <c r="R39" i="15" s="1"/>
  <c r="R40" i="15" a="1"/>
  <c r="R40" i="15" s="1"/>
  <c r="R41" i="15" a="1"/>
  <c r="R42" i="15" a="1"/>
  <c r="R42" i="15" s="1"/>
  <c r="R43" i="15" a="1"/>
  <c r="R44" i="15" a="1"/>
  <c r="R44" i="15" s="1"/>
  <c r="R45" i="15" a="1"/>
  <c r="R46" i="15" a="1"/>
  <c r="R41" i="15"/>
  <c r="R43" i="15"/>
  <c r="R45" i="15"/>
  <c r="R46" i="15"/>
  <c r="S40" i="15"/>
  <c r="U42" i="15" s="1" a="1"/>
  <c r="U42" i="15" s="1"/>
  <c r="U39" i="15" a="1"/>
  <c r="U39" i="15" s="1"/>
  <c r="U41" i="15" a="1"/>
  <c r="U41" i="15" s="1"/>
  <c r="U43" i="15" a="1"/>
  <c r="U43" i="15" s="1"/>
  <c r="U45" i="15" a="1"/>
  <c r="U45" i="15" s="1"/>
  <c r="U46" i="15" a="1"/>
  <c r="U46" i="15" s="1"/>
  <c r="A40" i="15"/>
  <c r="C40" i="15" s="1" a="1"/>
  <c r="C40" i="15" s="1"/>
  <c r="C46" i="15" a="1"/>
  <c r="C46" i="15" s="1"/>
  <c r="D40" i="15"/>
  <c r="F38" i="15" s="1" a="1"/>
  <c r="F38" i="15" s="1"/>
  <c r="F40" i="15" a="1"/>
  <c r="F40" i="15" s="1"/>
  <c r="F43" i="15" a="1"/>
  <c r="F43" i="15" s="1"/>
  <c r="F44" i="15" a="1"/>
  <c r="F44" i="15" s="1"/>
  <c r="F45" i="15" a="1"/>
  <c r="F45" i="15" s="1"/>
  <c r="A3" i="7"/>
  <c r="J14" i="7"/>
  <c r="J16" i="7"/>
  <c r="A1" i="7"/>
  <c r="A7" i="15"/>
  <c r="B6" i="15" s="1" a="1"/>
  <c r="B6" i="15" s="1"/>
  <c r="F1" i="15"/>
  <c r="E1" i="15"/>
  <c r="S48" i="15"/>
  <c r="S39" i="15"/>
  <c r="S30" i="15"/>
  <c r="S21" i="15"/>
  <c r="S12" i="15"/>
  <c r="S7" i="15"/>
  <c r="P48" i="15"/>
  <c r="Q48" i="15" a="1"/>
  <c r="Q48" i="15" s="1"/>
  <c r="P39" i="15"/>
  <c r="Q38" i="15" s="1" a="1"/>
  <c r="Q38" i="15" s="1"/>
  <c r="P30" i="15"/>
  <c r="Q32" i="15" a="1"/>
  <c r="Q32" i="15"/>
  <c r="P21" i="15"/>
  <c r="P12" i="15"/>
  <c r="Q12" i="15" a="1"/>
  <c r="Q12" i="15"/>
  <c r="P7" i="15"/>
  <c r="Q9" i="15" s="1" a="1"/>
  <c r="Q9" i="15"/>
  <c r="M48" i="15"/>
  <c r="N55" i="15" a="1"/>
  <c r="N55" i="15" s="1"/>
  <c r="M39" i="15"/>
  <c r="N44" i="15" a="1"/>
  <c r="N44" i="15"/>
  <c r="M30" i="15"/>
  <c r="N30" i="15" a="1"/>
  <c r="N30" i="15"/>
  <c r="M21" i="15"/>
  <c r="N20" i="15" s="1" a="1"/>
  <c r="N20" i="15" s="1"/>
  <c r="M12" i="15"/>
  <c r="N12" i="15" a="1"/>
  <c r="N12" i="15" s="1"/>
  <c r="M7" i="15"/>
  <c r="N10" i="15" s="1" a="1"/>
  <c r="N10" i="15" s="1"/>
  <c r="J48" i="15"/>
  <c r="K52" i="15" a="1"/>
  <c r="K52" i="15"/>
  <c r="J39" i="15"/>
  <c r="K45" i="15" a="1"/>
  <c r="K45" i="15"/>
  <c r="J30" i="15"/>
  <c r="K31" i="15" s="1" a="1"/>
  <c r="K31" i="15" s="1"/>
  <c r="J21" i="15"/>
  <c r="K20" i="15" a="1"/>
  <c r="K20" i="15" s="1"/>
  <c r="J12" i="15"/>
  <c r="J7" i="15"/>
  <c r="K6" i="15" s="1" a="1"/>
  <c r="K6" i="15" s="1"/>
  <c r="G48" i="15"/>
  <c r="H55" i="15" a="1"/>
  <c r="H55" i="15" s="1"/>
  <c r="G39" i="15"/>
  <c r="H39" i="15" a="1"/>
  <c r="H39" i="15"/>
  <c r="G30" i="15"/>
  <c r="H35" i="15" s="1" a="1"/>
  <c r="H35" i="15" s="1"/>
  <c r="G21" i="15"/>
  <c r="H25" i="15" a="1"/>
  <c r="H25" i="15" s="1"/>
  <c r="G12" i="15"/>
  <c r="H14" i="15" s="1" a="1"/>
  <c r="H14" i="15" s="1"/>
  <c r="G7" i="15"/>
  <c r="H8" i="15" a="1"/>
  <c r="H8" i="15" s="1"/>
  <c r="D48" i="15"/>
  <c r="D39" i="15"/>
  <c r="E45" i="15" s="1" a="1"/>
  <c r="E45" i="15" s="1"/>
  <c r="D30" i="15"/>
  <c r="E32" i="15" s="1" a="1"/>
  <c r="E30" i="15" a="1"/>
  <c r="E30" i="15" s="1"/>
  <c r="D21" i="15"/>
  <c r="E21" i="15" a="1"/>
  <c r="E21" i="15"/>
  <c r="D12" i="15"/>
  <c r="E14" i="15" s="1" a="1"/>
  <c r="E14" i="15" s="1"/>
  <c r="D7" i="15"/>
  <c r="E9" i="15" s="1"/>
  <c r="A48" i="15"/>
  <c r="B55" i="15" a="1"/>
  <c r="B55" i="15"/>
  <c r="A39" i="15"/>
  <c r="B44" i="15" s="1" a="1"/>
  <c r="B44" i="15" s="1"/>
  <c r="A30" i="15"/>
  <c r="B29" i="15" a="1"/>
  <c r="B29" i="15" s="1"/>
  <c r="A21" i="15"/>
  <c r="B22" i="15" s="1" a="1"/>
  <c r="B22" i="15" s="1"/>
  <c r="A12" i="15"/>
  <c r="B18" i="15" a="1"/>
  <c r="B18" i="15" s="1"/>
  <c r="C19" i="7"/>
  <c r="B19" i="7" s="1"/>
  <c r="C17" i="7"/>
  <c r="B17" i="7"/>
  <c r="C15" i="7"/>
  <c r="B15" i="7" s="1"/>
  <c r="C13" i="7"/>
  <c r="B13" i="7"/>
  <c r="C11" i="7"/>
  <c r="B11" i="7" s="1"/>
  <c r="C9" i="7"/>
  <c r="B9" i="7" s="1"/>
  <c r="C7" i="7"/>
  <c r="B7" i="7" s="1"/>
  <c r="Q49" i="15" a="1"/>
  <c r="Q49" i="15" s="1"/>
  <c r="T12" i="15" a="1"/>
  <c r="T12" i="15" s="1"/>
  <c r="T16" i="15" a="1"/>
  <c r="T16" i="15"/>
  <c r="T15" i="15" a="1"/>
  <c r="T15" i="15" s="1"/>
  <c r="T19" i="15" a="1"/>
  <c r="T19" i="15"/>
  <c r="T11" i="15" a="1"/>
  <c r="T11" i="15" s="1"/>
  <c r="T14" i="15" a="1"/>
  <c r="T14" i="15" s="1"/>
  <c r="T18" i="15" a="1"/>
  <c r="T18" i="15" s="1"/>
  <c r="T13" i="15" a="1"/>
  <c r="T13" i="15" s="1"/>
  <c r="T17" i="15" a="1"/>
  <c r="T17" i="15" s="1"/>
  <c r="T48" i="15" a="1"/>
  <c r="T48" i="15"/>
  <c r="T52" i="15" a="1"/>
  <c r="T52" i="15" s="1"/>
  <c r="T51" i="15" a="1"/>
  <c r="T51" i="15"/>
  <c r="T55" i="15" a="1"/>
  <c r="T55" i="15" s="1"/>
  <c r="T47" i="15" a="1"/>
  <c r="T47" i="15" s="1"/>
  <c r="T50" i="15" a="1"/>
  <c r="T50" i="15" s="1"/>
  <c r="T54" i="15" a="1"/>
  <c r="T54" i="15" s="1"/>
  <c r="T49" i="15" a="1"/>
  <c r="T49" i="15" s="1"/>
  <c r="T53" i="15" a="1"/>
  <c r="T53" i="15"/>
  <c r="T23" i="15" a="1"/>
  <c r="T23" i="15" s="1"/>
  <c r="T27" i="15" a="1"/>
  <c r="T27" i="15"/>
  <c r="T22" i="15" a="1"/>
  <c r="T22" i="15" s="1"/>
  <c r="T26" i="15" a="1"/>
  <c r="T26" i="15" s="1"/>
  <c r="T21" i="15" a="1"/>
  <c r="T21" i="15" s="1"/>
  <c r="T25" i="15" a="1"/>
  <c r="T25" i="15" s="1"/>
  <c r="T24" i="15" a="1"/>
  <c r="T24" i="15" s="1"/>
  <c r="T28" i="15" a="1"/>
  <c r="T28" i="15"/>
  <c r="T20" i="15" a="1"/>
  <c r="T20" i="15" s="1"/>
  <c r="T41" i="15" a="1"/>
  <c r="T41" i="15"/>
  <c r="T45" i="15" a="1"/>
  <c r="T45" i="15" s="1"/>
  <c r="T40" i="15" a="1"/>
  <c r="T40" i="15" s="1"/>
  <c r="T44" i="15" a="1"/>
  <c r="T44" i="15" s="1"/>
  <c r="T39" i="15" a="1"/>
  <c r="T39" i="15" s="1"/>
  <c r="T43" i="15" a="1"/>
  <c r="T43" i="15" s="1"/>
  <c r="T42" i="15" a="1"/>
  <c r="T42" i="15"/>
  <c r="T46" i="15" a="1"/>
  <c r="T46" i="15" s="1"/>
  <c r="T38" i="15" a="1"/>
  <c r="T38" i="15"/>
  <c r="T30" i="15" a="1"/>
  <c r="T30" i="15" s="1"/>
  <c r="T34" i="15" a="1"/>
  <c r="T34" i="15" s="1"/>
  <c r="T33" i="15" a="1"/>
  <c r="T33" i="15" s="1"/>
  <c r="T37" i="15" a="1"/>
  <c r="T37" i="15" s="1"/>
  <c r="T29" i="15" a="1"/>
  <c r="T29" i="15" s="1"/>
  <c r="T32" i="15" a="1"/>
  <c r="T32" i="15"/>
  <c r="T36" i="15" a="1"/>
  <c r="T36" i="15" s="1"/>
  <c r="T31" i="15" a="1"/>
  <c r="T31" i="15"/>
  <c r="T35" i="15" a="1"/>
  <c r="T35" i="15" s="1"/>
  <c r="T6" i="15" a="1"/>
  <c r="T6" i="15" s="1"/>
  <c r="T7" i="15" a="1"/>
  <c r="T7" i="15" s="1"/>
  <c r="T10" i="15" a="1"/>
  <c r="T10" i="15" s="1"/>
  <c r="T8" i="15" a="1"/>
  <c r="T8" i="15" s="1"/>
  <c r="T9" i="15" a="1"/>
  <c r="T9" i="15"/>
  <c r="Q24" i="15" a="1"/>
  <c r="Q24" i="15" s="1"/>
  <c r="Q27" i="15" a="1"/>
  <c r="Q27" i="15"/>
  <c r="Q22" i="15" a="1"/>
  <c r="Q22" i="15" s="1"/>
  <c r="Q25" i="15" a="1"/>
  <c r="Q25" i="15" s="1"/>
  <c r="Q21" i="15" a="1"/>
  <c r="Q21" i="15" s="1"/>
  <c r="Q23" i="15" a="1"/>
  <c r="Q23" i="15" s="1"/>
  <c r="Q20" i="15" a="1"/>
  <c r="Q20" i="15" s="1"/>
  <c r="Q28" i="15" a="1"/>
  <c r="Q28" i="15"/>
  <c r="Q26" i="15" a="1"/>
  <c r="Q26" i="15" s="1"/>
  <c r="Q42" i="15" a="1"/>
  <c r="Q42" i="15"/>
  <c r="Q45" i="15" a="1"/>
  <c r="Q45" i="15" s="1"/>
  <c r="Q41" i="15" a="1"/>
  <c r="Q41" i="15" s="1"/>
  <c r="N22" i="15" a="1"/>
  <c r="N22" i="15" s="1"/>
  <c r="N37" i="15" a="1"/>
  <c r="N37" i="15" s="1"/>
  <c r="N28" i="15" a="1"/>
  <c r="N28" i="15" s="1"/>
  <c r="N48" i="15" a="1"/>
  <c r="N48" i="15" s="1"/>
  <c r="B41" i="15" a="1"/>
  <c r="B41" i="15" s="1"/>
  <c r="N13" i="15" a="1"/>
  <c r="N13" i="15"/>
  <c r="B21" i="15" a="1"/>
  <c r="B21" i="15" s="1"/>
  <c r="B7" i="15" a="1"/>
  <c r="B7" i="15" s="1"/>
  <c r="N23" i="15" a="1"/>
  <c r="N23" i="15" s="1"/>
  <c r="N7" i="15" a="1"/>
  <c r="N7" i="15" s="1"/>
  <c r="N39" i="15" a="1"/>
  <c r="N39" i="15" s="1"/>
  <c r="N24" i="15" a="1"/>
  <c r="N24" i="15" s="1"/>
  <c r="N46" i="15" a="1"/>
  <c r="N46" i="15" s="1"/>
  <c r="N43" i="15" a="1"/>
  <c r="N43" i="15"/>
  <c r="Q53" i="15" a="1"/>
  <c r="Q53" i="15" s="1"/>
  <c r="B11" i="15" a="1"/>
  <c r="B11" i="15" s="1"/>
  <c r="B47" i="15" a="1"/>
  <c r="B47" i="15" s="1"/>
  <c r="B32" i="15" a="1"/>
  <c r="B32" i="15" s="1"/>
  <c r="B54" i="15" a="1"/>
  <c r="B54" i="15" s="1"/>
  <c r="B13" i="15" a="1"/>
  <c r="B13" i="15" s="1"/>
  <c r="B9" i="15" a="1"/>
  <c r="B9" i="15" s="1"/>
  <c r="B53" i="15" a="1"/>
  <c r="B53" i="15"/>
  <c r="B49" i="15" a="1"/>
  <c r="B49" i="15" s="1"/>
  <c r="B8" i="15" a="1"/>
  <c r="B8" i="15" s="1"/>
  <c r="B10" i="15" a="1"/>
  <c r="B10" i="15" s="1"/>
  <c r="B50" i="15" a="1"/>
  <c r="B50" i="15" s="1"/>
  <c r="B34" i="15" a="1"/>
  <c r="B34" i="15" s="1"/>
  <c r="H10" i="15" a="1"/>
  <c r="H10" i="15" s="1"/>
  <c r="H34" i="15" a="1"/>
  <c r="H34" i="15" s="1"/>
  <c r="H36" i="15" a="1"/>
  <c r="H36" i="15"/>
  <c r="H29" i="15" a="1"/>
  <c r="H29" i="15" s="1"/>
  <c r="H9" i="15" a="1"/>
  <c r="H9" i="15" s="1"/>
  <c r="K38" i="15" a="1"/>
  <c r="K38" i="15" s="1"/>
  <c r="K33" i="15" a="1"/>
  <c r="K33" i="15" s="1"/>
  <c r="N26" i="15" a="1"/>
  <c r="N26" i="15" s="1"/>
  <c r="N21" i="15" a="1"/>
  <c r="N21" i="15" s="1"/>
  <c r="N40" i="15" a="1"/>
  <c r="N40" i="15" s="1"/>
  <c r="N49" i="15" a="1"/>
  <c r="N49" i="15"/>
  <c r="N27" i="15" a="1"/>
  <c r="N27" i="15" s="1"/>
  <c r="N45" i="15" a="1"/>
  <c r="N45" i="15" s="1"/>
  <c r="N6" i="15" a="1"/>
  <c r="N6" i="15" s="1"/>
  <c r="N34" i="15" a="1"/>
  <c r="N34" i="15" s="1"/>
  <c r="N8" i="15" a="1"/>
  <c r="N8" i="15" s="1"/>
  <c r="Q19" i="15" a="1"/>
  <c r="Q19" i="15" s="1"/>
  <c r="Q50" i="15" a="1"/>
  <c r="Q50" i="15" s="1"/>
  <c r="Q51" i="15" a="1"/>
  <c r="Q51" i="15"/>
  <c r="Q55" i="15" a="1"/>
  <c r="Q55" i="15" s="1"/>
  <c r="Q14" i="15" a="1"/>
  <c r="Q14" i="15" s="1"/>
  <c r="Q36" i="15" a="1"/>
  <c r="Q36" i="15" s="1"/>
  <c r="Q31" i="15" a="1"/>
  <c r="Q31" i="15" s="1"/>
  <c r="Q18" i="15" a="1"/>
  <c r="Q18" i="15" s="1"/>
  <c r="Q54" i="15" a="1"/>
  <c r="Q54" i="15" s="1"/>
  <c r="Q30" i="15" a="1"/>
  <c r="Q30" i="15" s="1"/>
  <c r="Q47" i="15" a="1"/>
  <c r="Q47" i="15"/>
  <c r="Q52" i="15" a="1"/>
  <c r="Q52" i="15" s="1"/>
  <c r="Q37" i="15" a="1"/>
  <c r="Q37" i="15" s="1"/>
  <c r="Q34" i="15" a="1"/>
  <c r="Q34" i="15" s="1"/>
  <c r="Q17" i="15" a="1"/>
  <c r="Q17" i="15" s="1"/>
  <c r="Q29" i="15" a="1"/>
  <c r="Q29" i="15" s="1"/>
  <c r="Q35" i="15" a="1"/>
  <c r="Q35" i="15" s="1"/>
  <c r="Q33" i="15" a="1"/>
  <c r="Q33" i="15" s="1"/>
  <c r="Q46" i="15" a="1"/>
  <c r="Q46" i="15"/>
  <c r="Q40" i="15" a="1"/>
  <c r="Q40" i="15" s="1"/>
  <c r="Q15" i="15" a="1"/>
  <c r="Q15" i="15" s="1"/>
  <c r="Q39" i="15" a="1"/>
  <c r="Q39" i="15" s="1"/>
  <c r="Q43" i="15" a="1"/>
  <c r="Q43" i="15" s="1"/>
  <c r="Q13" i="15" a="1"/>
  <c r="Q13" i="15" s="1"/>
  <c r="Q44" i="15" a="1"/>
  <c r="Q44" i="15" s="1"/>
  <c r="N47" i="15" a="1"/>
  <c r="N47" i="15" s="1"/>
  <c r="N54" i="15" a="1"/>
  <c r="N54" i="15"/>
  <c r="N38" i="15" a="1"/>
  <c r="N38" i="15" s="1"/>
  <c r="N18" i="15" a="1"/>
  <c r="N18" i="15" s="1"/>
  <c r="N41" i="15" a="1"/>
  <c r="N41" i="15" s="1"/>
  <c r="N29" i="15" a="1"/>
  <c r="N29" i="15" s="1"/>
  <c r="N53" i="15" a="1"/>
  <c r="N53" i="15" s="1"/>
  <c r="N36" i="15" a="1"/>
  <c r="N36" i="15"/>
  <c r="N9" i="15" a="1"/>
  <c r="N9" i="15" s="1"/>
  <c r="N33" i="15" a="1"/>
  <c r="N33" i="15"/>
  <c r="N50" i="15" a="1"/>
  <c r="N50" i="15" s="1"/>
  <c r="N32" i="15" a="1"/>
  <c r="N32" i="15" s="1"/>
  <c r="N19" i="15" a="1"/>
  <c r="N19" i="15" s="1"/>
  <c r="N14" i="15" a="1"/>
  <c r="N14" i="15" s="1"/>
  <c r="N52" i="15" a="1"/>
  <c r="N52" i="15" s="1"/>
  <c r="N16" i="15" a="1"/>
  <c r="N16" i="15"/>
  <c r="N51" i="15" a="1"/>
  <c r="N51" i="15" s="1"/>
  <c r="N35" i="15" a="1"/>
  <c r="N35" i="15"/>
  <c r="N25" i="15" a="1"/>
  <c r="N25" i="15" s="1"/>
  <c r="N42" i="15" a="1"/>
  <c r="N42" i="15" s="1"/>
  <c r="N31" i="15" a="1"/>
  <c r="N31" i="15" s="1"/>
  <c r="N11" i="15" a="1"/>
  <c r="N11" i="15" s="1"/>
  <c r="N15" i="15" a="1"/>
  <c r="N15" i="15" s="1"/>
  <c r="N17" i="15" a="1"/>
  <c r="N17" i="15"/>
  <c r="H20" i="15" a="1"/>
  <c r="H20" i="15" s="1"/>
  <c r="H42" i="15" a="1"/>
  <c r="H42" i="15"/>
  <c r="K36" i="15" a="1"/>
  <c r="K36" i="15" s="1"/>
  <c r="K37" i="15" a="1"/>
  <c r="K37" i="15" s="1"/>
  <c r="E18" i="15" a="1"/>
  <c r="E18" i="15" s="1"/>
  <c r="E47" i="15" a="1"/>
  <c r="E47" i="15" s="1"/>
  <c r="E54" i="15" a="1"/>
  <c r="E54" i="15" s="1"/>
  <c r="E34" i="15" a="1"/>
  <c r="E34" i="15"/>
  <c r="E51" i="15" a="1"/>
  <c r="E51" i="15" s="1"/>
  <c r="E31" i="15" a="1"/>
  <c r="E31" i="15"/>
  <c r="E33" i="15" a="1"/>
  <c r="E33" i="15" s="1"/>
  <c r="E36" i="15" a="1"/>
  <c r="E36" i="15" s="1"/>
  <c r="Q6" i="15" a="1"/>
  <c r="Q6" i="15" s="1"/>
  <c r="Q7" i="15" a="1"/>
  <c r="Q7" i="15" s="1"/>
  <c r="Q10" i="15" a="1"/>
  <c r="Q10" i="15" s="1"/>
  <c r="Q16" i="15" a="1"/>
  <c r="Q16" i="15"/>
  <c r="Q11" i="15" a="1"/>
  <c r="Q11" i="15" s="1"/>
  <c r="Q8" i="15" a="1"/>
  <c r="Q8" i="15"/>
  <c r="K54" i="15" a="1"/>
  <c r="K54" i="15" s="1"/>
  <c r="K43" i="15" a="1"/>
  <c r="K43" i="15" s="1"/>
  <c r="K39" i="15" a="1"/>
  <c r="K39" i="15" s="1"/>
  <c r="K47" i="15" a="1"/>
  <c r="K47" i="15" s="1"/>
  <c r="K51" i="15" a="1"/>
  <c r="K51" i="15" s="1"/>
  <c r="K41" i="15" a="1"/>
  <c r="K41" i="15"/>
  <c r="K49" i="15" a="1"/>
  <c r="K49" i="15" s="1"/>
  <c r="K42" i="15" a="1"/>
  <c r="K42" i="15"/>
  <c r="K55" i="15" a="1"/>
  <c r="K55" i="15" s="1"/>
  <c r="K53" i="15" a="1"/>
  <c r="K53" i="15" s="1"/>
  <c r="K8" i="15" a="1"/>
  <c r="K8" i="15" s="1"/>
  <c r="K23" i="15" a="1"/>
  <c r="K23" i="15" s="1"/>
  <c r="K26" i="15" a="1"/>
  <c r="K26" i="15" s="1"/>
  <c r="K28" i="15" a="1"/>
  <c r="K28" i="15"/>
  <c r="K21" i="15" a="1"/>
  <c r="K21" i="15" s="1"/>
  <c r="K29" i="15" a="1"/>
  <c r="K29" i="15"/>
  <c r="K48" i="15" a="1"/>
  <c r="K48" i="15" s="1"/>
  <c r="K30" i="15" a="1"/>
  <c r="K30" i="15" s="1"/>
  <c r="K50" i="15" a="1"/>
  <c r="K50" i="15" s="1"/>
  <c r="K46" i="15" a="1"/>
  <c r="K46" i="15" s="1"/>
  <c r="K40" i="15" a="1"/>
  <c r="K40" i="15" s="1"/>
  <c r="K44" i="15" a="1"/>
  <c r="K44" i="15"/>
  <c r="K27" i="15" a="1"/>
  <c r="K27" i="15" s="1"/>
  <c r="K22" i="15" a="1"/>
  <c r="K22" i="15"/>
  <c r="K24" i="15" a="1"/>
  <c r="K24" i="15" s="1"/>
  <c r="K25" i="15" a="1"/>
  <c r="K25" i="15" s="1"/>
  <c r="K9" i="15" a="1"/>
  <c r="K9" i="15" s="1"/>
  <c r="K10" i="15" a="1"/>
  <c r="K10" i="15" s="1"/>
  <c r="E13" i="15" a="1"/>
  <c r="E13" i="15" s="1"/>
  <c r="E25" i="15" a="1"/>
  <c r="E25" i="15"/>
  <c r="E12" i="15" a="1"/>
  <c r="E12" i="15" s="1"/>
  <c r="E43" i="15" a="1"/>
  <c r="E43" i="15"/>
  <c r="E27" i="15" a="1"/>
  <c r="E27" i="15" s="1"/>
  <c r="E19" i="15" a="1"/>
  <c r="E19" i="15" s="1"/>
  <c r="E11" i="15" a="1"/>
  <c r="E11" i="15" s="1"/>
  <c r="E28" i="15" a="1"/>
  <c r="E28" i="15" s="1"/>
  <c r="E17" i="15" a="1"/>
  <c r="E17" i="15" s="1"/>
  <c r="E15" i="15" a="1"/>
  <c r="E15" i="15" s="1"/>
  <c r="E40" i="15" a="1"/>
  <c r="E40" i="15" s="1"/>
  <c r="E16" i="15" a="1"/>
  <c r="E16" i="15"/>
  <c r="E23" i="15" a="1"/>
  <c r="E23" i="15" s="1"/>
  <c r="E48" i="15" a="1"/>
  <c r="E48" i="15" s="1"/>
  <c r="E49" i="15" a="1"/>
  <c r="E49" i="15" s="1"/>
  <c r="E55" i="15" a="1"/>
  <c r="E55" i="15" s="1"/>
  <c r="E7" i="15"/>
  <c r="E20" i="15" a="1"/>
  <c r="E20" i="15"/>
  <c r="E52" i="15" a="1"/>
  <c r="E52" i="15" s="1"/>
  <c r="E24" i="15" a="1"/>
  <c r="E24" i="15" s="1"/>
  <c r="E22" i="15" a="1"/>
  <c r="E22" i="15"/>
  <c r="E26" i="15" a="1"/>
  <c r="E26" i="15" s="1"/>
  <c r="E29" i="15" a="1"/>
  <c r="E29" i="15"/>
  <c r="E37" i="15" a="1"/>
  <c r="E37" i="15" s="1"/>
  <c r="E8" i="15"/>
  <c r="E44" i="15" a="1"/>
  <c r="E44" i="15"/>
  <c r="E46" i="15" a="1"/>
  <c r="E46" i="15" s="1"/>
  <c r="E41" i="15" a="1"/>
  <c r="E41" i="15" s="1"/>
  <c r="E32" i="15"/>
  <c r="E10" i="15"/>
  <c r="E42" i="15" a="1"/>
  <c r="E42" i="15" s="1"/>
  <c r="E35" i="15" a="1"/>
  <c r="E35" i="15" s="1"/>
  <c r="B19" i="15" a="1"/>
  <c r="B19" i="15" s="1"/>
  <c r="B45" i="15" a="1"/>
  <c r="B45" i="15" s="1"/>
  <c r="B51" i="15" a="1"/>
  <c r="B51" i="15" s="1"/>
  <c r="B15" i="15" a="1"/>
  <c r="B15" i="15" s="1"/>
  <c r="B43" i="15" a="1"/>
  <c r="B43" i="15" s="1"/>
  <c r="B52" i="15" a="1"/>
  <c r="B52" i="15"/>
  <c r="B23" i="15" a="1"/>
  <c r="B23" i="15" s="1"/>
  <c r="B12" i="15" a="1"/>
  <c r="B12" i="15" s="1"/>
  <c r="B40" i="15" a="1"/>
  <c r="B40" i="15" s="1"/>
  <c r="B46" i="15" a="1"/>
  <c r="B46" i="15" s="1"/>
  <c r="B16" i="15" a="1"/>
  <c r="B16" i="15" s="1"/>
  <c r="B48" i="15" a="1"/>
  <c r="B48" i="15" s="1"/>
  <c r="B24" i="15" a="1"/>
  <c r="B24" i="15" s="1"/>
  <c r="K14" i="15" a="1"/>
  <c r="K14" i="15"/>
  <c r="K11" i="15" a="1"/>
  <c r="K11" i="15" s="1"/>
  <c r="K16" i="15" a="1"/>
  <c r="K16" i="15" s="1"/>
  <c r="K18" i="15" a="1"/>
  <c r="K18" i="15" s="1"/>
  <c r="K17" i="15" a="1"/>
  <c r="K17" i="15" s="1"/>
  <c r="K19" i="15" a="1"/>
  <c r="K19" i="15" s="1"/>
  <c r="K15" i="15" a="1"/>
  <c r="K15" i="15" s="1"/>
  <c r="K12" i="15" a="1"/>
  <c r="K12" i="15" s="1"/>
  <c r="K13" i="15" a="1"/>
  <c r="K13" i="15"/>
  <c r="K34" i="15" a="1"/>
  <c r="K34" i="15" s="1"/>
  <c r="K35" i="15" a="1"/>
  <c r="K35" i="15"/>
  <c r="K32" i="15" a="1"/>
  <c r="K32" i="15" s="1"/>
  <c r="K7" i="15" a="1"/>
  <c r="K7" i="15"/>
  <c r="B42" i="15" a="1"/>
  <c r="B42" i="15" s="1"/>
  <c r="B27" i="15" a="1"/>
  <c r="B27" i="15"/>
  <c r="B14" i="15" a="1"/>
  <c r="B14" i="15" s="1"/>
  <c r="B33" i="15" a="1"/>
  <c r="B33" i="15"/>
  <c r="B38" i="15" a="1"/>
  <c r="B38" i="15" s="1"/>
  <c r="B17" i="15" a="1"/>
  <c r="B17" i="15"/>
  <c r="B28" i="15" a="1"/>
  <c r="B28" i="15" s="1"/>
  <c r="B25" i="15" a="1"/>
  <c r="B25" i="15"/>
  <c r="B31" i="15" a="1"/>
  <c r="B31" i="15" s="1"/>
  <c r="B35" i="15" a="1"/>
  <c r="B35" i="15"/>
  <c r="B26" i="15" a="1"/>
  <c r="B26" i="15" s="1"/>
  <c r="B30" i="15" a="1"/>
  <c r="B30" i="15"/>
  <c r="B20" i="15" a="1"/>
  <c r="B20" i="15" s="1"/>
  <c r="G11" i="7" s="1"/>
  <c r="B39" i="15" a="1"/>
  <c r="B39" i="15"/>
  <c r="B37" i="15" a="1"/>
  <c r="B37" i="15" s="1"/>
  <c r="B36" i="15" a="1"/>
  <c r="B36" i="15"/>
  <c r="H45" i="15" a="1"/>
  <c r="H45" i="15" s="1"/>
  <c r="H38" i="15" a="1"/>
  <c r="H38" i="15"/>
  <c r="H40" i="15" a="1"/>
  <c r="H40" i="15" s="1"/>
  <c r="H32" i="15" a="1"/>
  <c r="H32" i="15"/>
  <c r="H17" i="15" a="1"/>
  <c r="H17" i="15" s="1"/>
  <c r="H30" i="15" a="1"/>
  <c r="H30" i="15"/>
  <c r="H37" i="15" a="1"/>
  <c r="H37" i="15" s="1"/>
  <c r="H51" i="15" a="1"/>
  <c r="H51" i="15"/>
  <c r="H53" i="15" a="1"/>
  <c r="H53" i="15" s="1"/>
  <c r="H33" i="15" a="1"/>
  <c r="H33" i="15"/>
  <c r="H31" i="15" a="1"/>
  <c r="H31" i="15" s="1"/>
  <c r="H54" i="15" a="1"/>
  <c r="H54" i="15"/>
  <c r="H52" i="15" a="1"/>
  <c r="H52" i="15" s="1"/>
  <c r="H13" i="15" a="1"/>
  <c r="H13" i="15"/>
  <c r="H15" i="15" a="1"/>
  <c r="H15" i="15" s="1"/>
  <c r="H18" i="15" a="1"/>
  <c r="H18" i="15"/>
  <c r="H23" i="15" a="1"/>
  <c r="H23" i="15" s="1"/>
  <c r="H41" i="15" a="1"/>
  <c r="H41" i="15"/>
  <c r="H12" i="15" a="1"/>
  <c r="H12" i="15" s="1"/>
  <c r="H11" i="15" a="1"/>
  <c r="H11" i="15" s="1"/>
  <c r="H22" i="15" a="1"/>
  <c r="H22" i="15" s="1"/>
  <c r="H21" i="15" a="1"/>
  <c r="H21" i="15"/>
  <c r="H19" i="15" a="1"/>
  <c r="H19" i="15" s="1"/>
  <c r="H16" i="15" a="1"/>
  <c r="H16" i="15"/>
  <c r="H44" i="15" a="1"/>
  <c r="H44" i="15" s="1"/>
  <c r="H6" i="15" a="1"/>
  <c r="H6" i="15"/>
  <c r="H7" i="15" a="1"/>
  <c r="H7" i="15" s="1"/>
  <c r="H28" i="15" a="1"/>
  <c r="H28" i="15"/>
  <c r="H27" i="15" a="1"/>
  <c r="H27" i="15" s="1"/>
  <c r="H26" i="15" a="1"/>
  <c r="H26" i="15" s="1"/>
  <c r="H24" i="15" a="1"/>
  <c r="H24" i="15" s="1"/>
  <c r="H50" i="15" a="1"/>
  <c r="H50" i="15" s="1"/>
  <c r="H43" i="15" a="1"/>
  <c r="H43" i="15" s="1"/>
  <c r="H46" i="15" a="1"/>
  <c r="H46" i="15" s="1"/>
  <c r="H48" i="15" a="1"/>
  <c r="H48" i="15" s="1"/>
  <c r="H47" i="15" a="1"/>
  <c r="H47" i="15" s="1"/>
  <c r="H49" i="15" a="1"/>
  <c r="H49" i="15" s="1"/>
  <c r="G9" i="7" l="1"/>
  <c r="G13" i="7"/>
  <c r="E6" i="15"/>
  <c r="G7" i="7" s="1"/>
  <c r="E53" i="15" a="1"/>
  <c r="E53" i="15" s="1"/>
  <c r="E50" i="15" a="1"/>
  <c r="E50" i="15" s="1"/>
  <c r="G17" i="7" s="1"/>
  <c r="E39" i="15" a="1"/>
  <c r="E39" i="15" s="1"/>
  <c r="E38" i="15" a="1"/>
  <c r="E38" i="15" s="1"/>
  <c r="G15" i="7" s="1"/>
  <c r="C41" i="15" a="1"/>
  <c r="C41" i="15" s="1"/>
  <c r="C45" i="15" a="1"/>
  <c r="C45" i="15" s="1"/>
  <c r="C38" i="15" a="1"/>
  <c r="C38" i="15" s="1"/>
  <c r="C42" i="15" a="1"/>
  <c r="C42" i="15" s="1"/>
  <c r="C39" i="15" a="1"/>
  <c r="C39" i="15" s="1"/>
  <c r="C43" i="15" a="1"/>
  <c r="C43" i="15" s="1"/>
  <c r="C44" i="15" a="1"/>
  <c r="C44" i="15" s="1"/>
  <c r="C30" i="15" a="1"/>
  <c r="C30" i="15" s="1"/>
  <c r="C33" i="15" a="1"/>
  <c r="C33" i="15" s="1"/>
  <c r="C37" i="15" a="1"/>
  <c r="C37" i="15" s="1"/>
  <c r="C29" i="15" a="1"/>
  <c r="C29" i="15" s="1"/>
  <c r="C31" i="15" a="1"/>
  <c r="C31" i="15" s="1"/>
  <c r="C35" i="15" a="1"/>
  <c r="C35" i="15" s="1"/>
  <c r="L30" i="15" a="1"/>
  <c r="L30" i="15" s="1"/>
  <c r="L33" i="15" a="1"/>
  <c r="L33" i="15" s="1"/>
  <c r="L37" i="15" a="1"/>
  <c r="L37" i="15" s="1"/>
  <c r="L29" i="15" a="1"/>
  <c r="L29" i="15" s="1"/>
  <c r="L31" i="15" a="1"/>
  <c r="L31" i="15" s="1"/>
  <c r="L35" i="15" a="1"/>
  <c r="L35" i="15" s="1"/>
  <c r="R47" i="15" a="1"/>
  <c r="R47" i="15" s="1"/>
  <c r="R49" i="15" a="1"/>
  <c r="R49" i="15" s="1"/>
  <c r="R53" i="15" a="1"/>
  <c r="R53" i="15" s="1"/>
  <c r="R50" i="15" a="1"/>
  <c r="R50" i="15" s="1"/>
  <c r="R54" i="15" a="1"/>
  <c r="R54" i="15" s="1"/>
  <c r="R48" i="15" a="1"/>
  <c r="R48" i="15" s="1"/>
  <c r="R51" i="15" a="1"/>
  <c r="R51" i="15" s="1"/>
  <c r="R55" i="15" a="1"/>
  <c r="R55" i="15" s="1"/>
  <c r="R52" i="15" a="1"/>
  <c r="R52" i="15" s="1"/>
  <c r="F41" i="15" a="1"/>
  <c r="F41" i="15" s="1"/>
  <c r="C32" i="15" a="1"/>
  <c r="C32" i="15" s="1"/>
  <c r="L32" i="15" a="1"/>
  <c r="L32" i="15" s="1"/>
  <c r="F12" i="15" a="1"/>
  <c r="F12" i="15" s="1"/>
  <c r="F15" i="15" a="1"/>
  <c r="F15" i="15" s="1"/>
  <c r="F19" i="15" a="1"/>
  <c r="F19" i="15" s="1"/>
  <c r="F11" i="15" a="1"/>
  <c r="F11" i="15" s="1"/>
  <c r="F14" i="15" a="1"/>
  <c r="F14" i="15" s="1"/>
  <c r="F16" i="15" a="1"/>
  <c r="F16" i="15" s="1"/>
  <c r="F17" i="15" a="1"/>
  <c r="F17" i="15" s="1"/>
  <c r="F39" i="15" a="1"/>
  <c r="F39" i="15" s="1"/>
  <c r="F42" i="15" a="1"/>
  <c r="F42" i="15" s="1"/>
  <c r="F46" i="15" a="1"/>
  <c r="F46" i="15" s="1"/>
  <c r="U38" i="15" a="1"/>
  <c r="U38" i="15" s="1"/>
  <c r="U40" i="15" a="1"/>
  <c r="U40" i="15" s="1"/>
  <c r="U44" i="15" a="1"/>
  <c r="U44" i="15" s="1"/>
  <c r="O38" i="15" a="1"/>
  <c r="O38" i="15" s="1"/>
  <c r="O40" i="15" a="1"/>
  <c r="O40" i="15" s="1"/>
  <c r="O44" i="15" a="1"/>
  <c r="O44" i="15" s="1"/>
  <c r="O39" i="15" a="1"/>
  <c r="O39" i="15" s="1"/>
  <c r="O42" i="15" a="1"/>
  <c r="O42" i="15" s="1"/>
  <c r="O46" i="15" a="1"/>
  <c r="O46" i="15" s="1"/>
  <c r="F20" i="15" a="1"/>
  <c r="F20" i="15" s="1"/>
  <c r="F22" i="15" a="1"/>
  <c r="F22" i="15" s="1"/>
  <c r="F26" i="15" a="1"/>
  <c r="F26" i="15" s="1"/>
  <c r="F21" i="15" a="1"/>
  <c r="F21" i="15" s="1"/>
  <c r="F24" i="15" a="1"/>
  <c r="F24" i="15" s="1"/>
  <c r="F28" i="15" a="1"/>
  <c r="F28" i="15" s="1"/>
  <c r="I39" i="15" a="1"/>
  <c r="I39" i="15" s="1"/>
  <c r="I42" i="15" a="1"/>
  <c r="I42" i="15" s="1"/>
  <c r="I46" i="15" a="1"/>
  <c r="I46" i="15" s="1"/>
  <c r="I38" i="15" a="1"/>
  <c r="I38" i="15" s="1"/>
  <c r="I40" i="15" a="1"/>
  <c r="I40" i="15" s="1"/>
  <c r="I44" i="15" a="1"/>
  <c r="I44" i="15" s="1"/>
  <c r="I29" i="15" a="1"/>
  <c r="I29" i="15" s="1"/>
  <c r="I31" i="15" a="1"/>
  <c r="I31" i="15" s="1"/>
  <c r="I35" i="15" a="1"/>
  <c r="I35" i="15" s="1"/>
  <c r="I30" i="15" a="1"/>
  <c r="I30" i="15" s="1"/>
  <c r="I33" i="15" a="1"/>
  <c r="I33" i="15" s="1"/>
  <c r="I37" i="15" a="1"/>
  <c r="I37" i="15" s="1"/>
  <c r="C36" i="15" a="1"/>
  <c r="C36" i="15" s="1"/>
  <c r="R29" i="15" a="1"/>
  <c r="R29" i="15" s="1"/>
  <c r="R31" i="15" a="1"/>
  <c r="R31" i="15" s="1"/>
  <c r="R35" i="15" a="1"/>
  <c r="R35" i="15" s="1"/>
  <c r="R30" i="15" a="1"/>
  <c r="R30" i="15" s="1"/>
  <c r="R33" i="15" a="1"/>
  <c r="R33" i="15" s="1"/>
  <c r="R37" i="15" a="1"/>
  <c r="R37" i="15" s="1"/>
  <c r="L36" i="15" a="1"/>
  <c r="L36" i="15" s="1"/>
  <c r="L21" i="15" a="1"/>
  <c r="L21" i="15" s="1"/>
  <c r="L24" i="15" a="1"/>
  <c r="L24" i="15" s="1"/>
  <c r="L28" i="15" a="1"/>
  <c r="L28" i="15" s="1"/>
  <c r="L20" i="15" a="1"/>
  <c r="L20" i="15" s="1"/>
  <c r="L22" i="15" a="1"/>
  <c r="L22" i="15" s="1"/>
  <c r="L26" i="15" a="1"/>
  <c r="L26" i="15" s="1"/>
  <c r="F7" i="15"/>
  <c r="F8" i="15"/>
  <c r="F6" i="15"/>
  <c r="F9" i="15"/>
  <c r="F10" i="15"/>
  <c r="L45" i="15" a="1"/>
  <c r="L45" i="15" s="1"/>
  <c r="F36" i="15" a="1"/>
  <c r="F36" i="15" s="1"/>
  <c r="O36" i="15" a="1"/>
  <c r="O36" i="15" s="1"/>
  <c r="C27" i="15" a="1"/>
  <c r="C27" i="15" s="1"/>
  <c r="H11" i="7" s="1"/>
  <c r="J11" i="7" s="1"/>
  <c r="R28" i="15" a="1"/>
  <c r="R28" i="15" s="1"/>
  <c r="R24" i="15" a="1"/>
  <c r="R24" i="15" s="1"/>
  <c r="O20" i="15" a="1"/>
  <c r="O20" i="15" s="1"/>
  <c r="O22" i="15" a="1"/>
  <c r="O22" i="15" s="1"/>
  <c r="O26" i="15" a="1"/>
  <c r="O26" i="15" s="1"/>
  <c r="C15" i="15" a="1"/>
  <c r="C15" i="15" s="1"/>
  <c r="O17" i="15" a="1"/>
  <c r="O17" i="15" s="1"/>
  <c r="C6" i="15" a="1"/>
  <c r="C6" i="15" s="1"/>
  <c r="C8" i="15" a="1"/>
  <c r="C8" i="15" s="1"/>
  <c r="C9" i="15" a="1"/>
  <c r="C9" i="15" s="1"/>
  <c r="I47" i="15" a="1"/>
  <c r="I47" i="15" s="1"/>
  <c r="I49" i="15" a="1"/>
  <c r="I49" i="15" s="1"/>
  <c r="I53" i="15" a="1"/>
  <c r="I53" i="15" s="1"/>
  <c r="I50" i="15" a="1"/>
  <c r="I50" i="15" s="1"/>
  <c r="I54" i="15" a="1"/>
  <c r="I54" i="15" s="1"/>
  <c r="I48" i="15" a="1"/>
  <c r="I48" i="15" s="1"/>
  <c r="I51" i="15" a="1"/>
  <c r="I51" i="15" s="1"/>
  <c r="I55" i="15" a="1"/>
  <c r="I55" i="15" s="1"/>
  <c r="C14" i="15" a="1"/>
  <c r="C14" i="15" s="1"/>
  <c r="H9" i="7" s="1"/>
  <c r="C18" i="15" a="1"/>
  <c r="C18" i="15" s="1"/>
  <c r="O14" i="15" a="1"/>
  <c r="O14" i="15" s="1"/>
  <c r="O18" i="15" a="1"/>
  <c r="O18" i="15" s="1"/>
  <c r="O12" i="15" a="1"/>
  <c r="O12" i="15" s="1"/>
  <c r="O15" i="15" a="1"/>
  <c r="O15" i="15" s="1"/>
  <c r="O19" i="15" a="1"/>
  <c r="O19" i="15" s="1"/>
  <c r="O9" i="15" a="1"/>
  <c r="O9" i="15" s="1"/>
  <c r="O7" i="15" a="1"/>
  <c r="O7" i="15" s="1"/>
  <c r="O10" i="15" a="1"/>
  <c r="O10" i="15" s="1"/>
  <c r="C17" i="15" a="1"/>
  <c r="C17" i="15" s="1"/>
  <c r="O13" i="15" a="1"/>
  <c r="O13" i="15" s="1"/>
  <c r="L11" i="15" a="1"/>
  <c r="L11" i="15" s="1"/>
  <c r="L13" i="15" a="1"/>
  <c r="L13" i="15" s="1"/>
  <c r="L17" i="15" a="1"/>
  <c r="L17" i="15" s="1"/>
  <c r="L14" i="15" a="1"/>
  <c r="L14" i="15" s="1"/>
  <c r="L18" i="15" a="1"/>
  <c r="L18" i="15" s="1"/>
  <c r="O8" i="15" a="1"/>
  <c r="O8" i="15" s="1"/>
  <c r="L6" i="15" a="1"/>
  <c r="L6" i="15" s="1"/>
  <c r="L8" i="15" a="1"/>
  <c r="L8" i="15" s="1"/>
  <c r="L9" i="15" a="1"/>
  <c r="L9" i="15" s="1"/>
  <c r="I52" i="15" a="1"/>
  <c r="I52" i="15" s="1"/>
  <c r="U17" i="15" a="1"/>
  <c r="U17" i="15" s="1"/>
  <c r="U13" i="15" a="1"/>
  <c r="U13" i="15" s="1"/>
  <c r="U8" i="15" a="1"/>
  <c r="U8" i="15" s="1"/>
  <c r="I8" i="15" a="1"/>
  <c r="I8" i="15" s="1"/>
  <c r="O54" i="15" a="1"/>
  <c r="O54" i="15" s="1"/>
  <c r="O50" i="15" a="1"/>
  <c r="O50" i="15" s="1"/>
  <c r="L53" i="15" a="1"/>
  <c r="L53" i="15" s="1"/>
  <c r="L49" i="15" a="1"/>
  <c r="L49" i="15" s="1"/>
  <c r="U54" i="15" a="1"/>
  <c r="U54" i="15" s="1"/>
  <c r="U50" i="15" a="1"/>
  <c r="U50" i="15" s="1"/>
  <c r="C53" i="15" a="1"/>
  <c r="C53" i="15" s="1"/>
  <c r="C49" i="15" a="1"/>
  <c r="C49" i="15" s="1"/>
  <c r="H17" i="7" s="1"/>
  <c r="I17" i="7" s="1"/>
  <c r="J17" i="7" s="1"/>
  <c r="O53" i="15" a="1"/>
  <c r="O53" i="15" s="1"/>
  <c r="O49" i="15" a="1"/>
  <c r="O49" i="15" s="1"/>
  <c r="U53" i="15" a="1"/>
  <c r="U53" i="15" s="1"/>
  <c r="U49" i="15" a="1"/>
  <c r="U49" i="15" s="1"/>
  <c r="H13" i="7" l="1"/>
  <c r="J13" i="7" s="1"/>
  <c r="H15" i="7"/>
  <c r="J15" i="7" s="1"/>
  <c r="H7" i="7"/>
</calcChain>
</file>

<file path=xl/sharedStrings.xml><?xml version="1.0" encoding="utf-8"?>
<sst xmlns="http://schemas.openxmlformats.org/spreadsheetml/2006/main" count="852" uniqueCount="584">
  <si>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</si>
  <si>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</si>
  <si>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</si>
  <si>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</si>
  <si>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</si>
  <si>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</si>
  <si>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</si>
  <si>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</si>
  <si>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</si>
  <si>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</si>
  <si>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</si>
  <si>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</si>
  <si>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</si>
  <si>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</si>
  <si>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</si>
  <si>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</si>
  <si>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</si>
  <si>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</si>
  <si>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</si>
  <si>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</si>
  <si>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</si>
  <si>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</si>
  <si>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</si>
  <si>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</si>
  <si>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</si>
  <si>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</si>
  <si>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</si>
  <si>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</si>
  <si>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</si>
  <si>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</si>
  <si>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</si>
  <si>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</si>
  <si>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</si>
  <si>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</si>
  <si>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</si>
  <si>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</si>
  <si>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</si>
  <si>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</si>
  <si>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</si>
  <si>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</si>
  <si>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</si>
  <si>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</si>
  <si>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</si>
  <si>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</si>
  <si>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</si>
  <si>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</si>
  <si>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</si>
  <si>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</si>
  <si>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</si>
  <si>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</si>
  <si>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</si>
  <si>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</si>
  <si>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</si>
  <si>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</si>
  <si>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</si>
  <si>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</si>
  <si>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</si>
  <si>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</si>
  <si>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</si>
  <si>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</si>
  <si>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</si>
  <si>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</si>
  <si>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</si>
  <si>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</si>
  <si>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</si>
  <si>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</si>
  <si>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</si>
  <si>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</si>
  <si>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</si>
  <si>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</si>
  <si>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</si>
  <si>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</si>
  <si>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</si>
  <si>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</si>
  <si>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</si>
  <si>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</si>
  <si>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</si>
  <si>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</si>
  <si>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</si>
  <si>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</si>
  <si>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</si>
  <si>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</si>
  <si>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</si>
  <si>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</si>
  <si>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</si>
  <si>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</si>
  <si>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</si>
  <si>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</si>
  <si>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</si>
  <si>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</si>
  <si>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</si>
  <si>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</si>
  <si>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</si>
  <si>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</si>
  <si>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</si>
  <si>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</si>
  <si>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</si>
  <si>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</si>
  <si>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</si>
  <si>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</si>
  <si>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</si>
  <si>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</si>
  <si>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</si>
  <si>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</si>
  <si>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</si>
  <si>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</si>
  <si>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</si>
  <si>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</si>
  <si>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</si>
  <si>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</si>
  <si>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</si>
  <si>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</si>
  <si>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</si>
  <si>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</si>
  <si>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</si>
  <si>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</si>
  <si>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</si>
  <si>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</si>
  <si>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</si>
  <si>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</si>
  <si>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</si>
  <si>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</si>
  <si>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</si>
  <si>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</si>
  <si>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</si>
  <si>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</si>
  <si>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</si>
  <si>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</si>
  <si>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</si>
  <si>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</si>
  <si>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</si>
  <si>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</si>
  <si>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</si>
  <si>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</si>
  <si>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</si>
  <si>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</si>
  <si>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</si>
  <si>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</si>
  <si>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</si>
  <si>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</si>
  <si>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</si>
  <si>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</si>
  <si>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</si>
  <si>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</si>
  <si>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</si>
  <si>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</si>
  <si>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</si>
  <si>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</si>
  <si>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</si>
  <si>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</si>
  <si>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</si>
  <si>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</si>
  <si>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</si>
  <si>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</si>
  <si>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</si>
  <si>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</si>
  <si>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</si>
  <si>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</si>
  <si>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</si>
  <si>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</si>
  <si>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</si>
  <si>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</si>
  <si>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</si>
  <si>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</si>
  <si>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</si>
  <si>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</si>
  <si>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</si>
  <si>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</si>
  <si>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</si>
  <si>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</si>
  <si>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</si>
  <si>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</si>
  <si>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</si>
  <si>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</si>
  <si>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</si>
  <si>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</si>
  <si>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</si>
  <si>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</si>
  <si>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</si>
  <si>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</si>
  <si>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</si>
  <si>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</si>
  <si>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</si>
  <si>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</si>
  <si>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</si>
  <si>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</si>
  <si>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</si>
  <si>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</si>
  <si>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</si>
  <si>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</si>
  <si>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</si>
  <si>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</si>
  <si>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</si>
  <si>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</si>
  <si>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</si>
  <si>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</si>
  <si>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</si>
  <si>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</si>
  <si>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</si>
  <si>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</si>
  <si>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</si>
  <si>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</si>
  <si>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</si>
  <si>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</si>
  <si>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</si>
  <si>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</si>
  <si>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</si>
  <si>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</si>
  <si>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</si>
  <si>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</si>
  <si>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</si>
  <si>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</si>
  <si>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</si>
  <si>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</si>
  <si>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</si>
  <si>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</si>
  <si>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</si>
  <si>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</si>
  <si>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</si>
  <si>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</si>
  <si>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</si>
  <si>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</si>
  <si>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</si>
  <si>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</si>
  <si>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</si>
  <si>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</si>
  <si>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</si>
  <si>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</si>
  <si>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</si>
  <si>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</si>
  <si>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</si>
  <si>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</si>
  <si>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</si>
  <si>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</si>
  <si>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</si>
  <si>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</si>
  <si>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</si>
  <si>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</si>
  <si>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</si>
  <si>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</si>
  <si>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</si>
  <si>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</si>
  <si>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</si>
  <si>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</si>
  <si>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</si>
  <si>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</si>
  <si>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</si>
  <si>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</si>
  <si>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</si>
  <si>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</si>
  <si>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</si>
  <si>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</si>
  <si>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</si>
  <si>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</si>
  <si>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</si>
  <si>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</si>
  <si>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</si>
  <si>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</si>
  <si>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</si>
  <si>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</si>
  <si>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</si>
  <si>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</si>
  <si>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</si>
  <si>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</si>
  <si>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</si>
  <si>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</si>
  <si>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</si>
  <si>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</si>
  <si>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</si>
  <si>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</si>
  <si>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</si>
  <si>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</si>
  <si>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</si>
  <si>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</si>
  <si>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</si>
  <si>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</si>
  <si>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</si>
  <si>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</si>
  <si>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</si>
  <si>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</si>
  <si>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</si>
  <si>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</si>
  <si>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</si>
  <si>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</si>
  <si>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</si>
  <si>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</si>
  <si>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</si>
  <si>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</si>
  <si>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</si>
  <si>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</si>
  <si>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</si>
  <si>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</si>
  <si>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</si>
  <si>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</si>
  <si>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</si>
  <si>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</si>
  <si>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</si>
  <si>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</si>
  <si>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</si>
  <si>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</si>
  <si>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</si>
  <si>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</si>
  <si>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</si>
  <si>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</si>
  <si>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</si>
  <si>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</si>
  <si>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</si>
  <si>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</si>
  <si>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</si>
  <si>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</si>
  <si>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</si>
  <si>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</si>
  <si>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</si>
  <si>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</si>
  <si>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</si>
  <si>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</si>
  <si>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</si>
  <si>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</si>
  <si>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</si>
  <si>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</si>
  <si>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</si>
  <si>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</si>
  <si>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</si>
  <si>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</si>
  <si>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</si>
  <si>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</si>
  <si>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</si>
  <si>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</si>
  <si>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</si>
  <si>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</si>
  <si>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</si>
  <si>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</si>
  <si>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</si>
  <si>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</si>
  <si>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</si>
  <si>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</si>
  <si>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</si>
  <si>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</si>
  <si>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</si>
  <si>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</si>
  <si>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</si>
  <si>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</si>
  <si>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</si>
  <si>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</si>
  <si>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</si>
  <si>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</si>
  <si>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</si>
  <si>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</si>
  <si>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</si>
  <si>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</si>
  <si>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</si>
  <si>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</si>
  <si>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</si>
  <si>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</si>
  <si>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</si>
  <si>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</si>
  <si>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</si>
  <si>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</si>
  <si>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</si>
  <si>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</si>
  <si>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</si>
  <si>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</si>
  <si>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</si>
  <si>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</si>
  <si>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</si>
  <si>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</si>
  <si>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</si>
  <si>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</si>
  <si>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</si>
  <si>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</si>
  <si>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</si>
  <si>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</si>
  <si>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</si>
  <si>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</si>
  <si>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</si>
  <si>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</si>
  <si>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</si>
  <si>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</si>
  <si>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</si>
  <si>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</si>
  <si>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</si>
  <si>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</si>
  <si>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</si>
  <si>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</si>
  <si>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</si>
  <si>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</si>
  <si>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</si>
  <si>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</si>
  <si>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</si>
  <si>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</si>
  <si>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</si>
  <si>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</si>
  <si>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</si>
  <si>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</si>
  <si>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</si>
  <si>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</si>
  <si>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</si>
  <si>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</si>
  <si>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</si>
  <si>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</si>
  <si>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</si>
  <si>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</si>
  <si>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</si>
  <si>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</si>
  <si>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</si>
  <si>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</si>
  <si>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</si>
  <si>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</si>
  <si>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</si>
  <si>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</si>
  <si>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</si>
  <si>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</si>
  <si>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</si>
  <si>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</si>
  <si>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</si>
  <si>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</si>
  <si>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</si>
  <si>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</si>
  <si>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</si>
  <si>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</si>
  <si>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</si>
  <si>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</si>
  <si>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</si>
  <si>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</si>
  <si>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</si>
  <si>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</si>
  <si>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</si>
  <si>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</si>
  <si>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</si>
  <si>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</si>
  <si>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</si>
  <si>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</si>
  <si>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</si>
  <si>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</si>
  <si>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</si>
  <si>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</si>
  <si>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</si>
  <si>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</si>
  <si>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</si>
  <si>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</si>
  <si>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</si>
  <si>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</si>
  <si>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</si>
  <si>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</si>
  <si>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</si>
  <si>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</si>
  <si>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</si>
  <si>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</si>
  <si>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</si>
  <si>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</si>
  <si>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</si>
  <si>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</si>
  <si>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</si>
  <si>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</si>
  <si>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</si>
  <si>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</si>
  <si>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</si>
  <si>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</si>
  <si>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</si>
  <si>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</si>
  <si>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</si>
  <si>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</si>
  <si>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</si>
  <si>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</si>
  <si>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</si>
  <si>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</si>
  <si>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</si>
  <si>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</si>
  <si>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</si>
  <si>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</si>
  <si>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</si>
  <si>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</si>
  <si>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</si>
  <si>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</si>
  <si>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</si>
  <si>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</si>
  <si>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</si>
  <si>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</si>
  <si>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</si>
  <si>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</si>
  <si>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</si>
  <si>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</si>
  <si>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</si>
  <si>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</si>
  <si>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</si>
  <si>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</si>
  <si>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</si>
  <si>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</si>
  <si>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</si>
  <si>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</si>
  <si>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</si>
  <si>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</si>
  <si>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</si>
  <si>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</si>
  <si>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</si>
  <si>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</si>
  <si>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</si>
  <si>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</si>
  <si>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</si>
  <si>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</si>
  <si>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</si>
  <si>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</si>
  <si>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</si>
  <si>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</si>
  <si>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</si>
  <si>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</si>
  <si>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</si>
  <si>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</si>
  <si>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</si>
  <si>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</si>
  <si>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</si>
  <si>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</si>
  <si>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</si>
  <si>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</si>
  <si>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</si>
  <si>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</si>
  <si>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</si>
  <si>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</si>
  <si>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</si>
  <si>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</si>
  <si>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</si>
  <si>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</si>
  <si>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</si>
  <si>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</si>
  <si>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</si>
  <si>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</si>
  <si>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</si>
  <si>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</si>
  <si>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</si>
  <si>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</si>
  <si>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</si>
  <si>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</si>
  <si>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</si>
  <si>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</si>
  <si>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</si>
  <si>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</si>
  <si>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</si>
  <si>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</si>
  <si>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</si>
  <si>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</si>
  <si>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</si>
  <si>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</si>
  <si>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</si>
  <si>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</si>
  <si>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</si>
  <si>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</si>
  <si>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</si>
  <si>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</si>
  <si>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</si>
  <si>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</si>
  <si>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</si>
  <si>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</si>
  <si>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</si>
  <si>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</si>
  <si>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</si>
  <si>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</si>
  <si>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</si>
  <si>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</si>
  <si>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</si>
  <si>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</si>
  <si>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</si>
  <si>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</si>
  <si>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</si>
  <si>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</si>
  <si>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</si>
  <si>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</si>
  <si>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</si>
  <si>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</si>
  <si>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</si>
  <si>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</si>
  <si>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</si>
  <si>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</si>
  <si>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</si>
  <si>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</si>
  <si>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</si>
  <si>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</si>
  <si>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</si>
  <si>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</si>
  <si>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</si>
  <si>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</si>
  <si>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Professeur AGUEMON Abdou-Rahmann</t>
  </si>
  <si>
    <t>Président ABL-Rage</t>
  </si>
  <si>
    <t>Docteur FANOU Urbain</t>
  </si>
  <si>
    <t>Médecin vétérinaire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</si>
</sst>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3409]dd\ mmmm\,\ yyyy;@"/>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43"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43"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43"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164" fontId="18" fillId="7" borderId="18" xfId="0" applyNumberFormat="1" applyFont="1" applyFill="1" applyBorder="1" applyAlignment="1">
      <alignment horizontal="center" vertical="center"/>
    </xf>
    <xf numFmtId="164" fontId="18" fillId="7" borderId="19" xfId="0" applyNumberFormat="1" applyFont="1" applyFill="1" applyBorder="1" applyAlignment="1">
      <alignment horizontal="center" vertical="center"/>
    </xf>
    <xf numFmtId="164"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0" fillId="0" borderId="2" xfId="0" applyFont="1" applyBorder="1" applyAlignment="1">
      <alignment vertical="center" wrapText="1"/>
    </xf>
    <xf numFmtId="0" fontId="0" fillId="0" borderId="7" xfId="0" applyFont="1" applyBorder="1" applyAlignment="1">
      <alignment vertical="center" wrapText="1"/>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7" fillId="0" borderId="39" xfId="0" applyFont="1" applyBorder="1" applyAlignment="1">
      <alignment horizontal="left" vertical="top" wrapText="1"/>
    </xf>
    <xf numFmtId="0" fontId="17" fillId="0" borderId="31" xfId="0" applyFont="1" applyBorder="1" applyAlignment="1">
      <alignment horizontal="left" vertical="top"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a:extLst>
            <a:ext uri="{FF2B5EF4-FFF2-40B4-BE49-F238E27FC236}">
              <a16:creationId xmlns:a16="http://schemas.microsoft.com/office/drawing/2014/main" id="{00000000-0008-0000-0900-000015000000}"/>
            </a:ext>
          </a:extLst>
        </xdr:cNvPr>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ari" refreshedDate="42544.671747222223" createdVersion="5" refreshedVersion="5" minRefreshableVersion="3" recordCount="103" xr:uid="{00000000-000A-0000-FFFF-FFFF02000000}">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showGridLines="0" workbookViewId="0">
      <selection activeCell="V25" sqref="V25"/>
    </sheetView>
  </sheetViews>
  <sheetFormatPr baseColWidth="10" defaultColWidth="8.6640625" defaultRowHeight="15"/>
  <sheetData>
    <row r="1" spans="1:1" ht="19">
      <c r="A1" s="36"/>
    </row>
    <row r="2" spans="1:1">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K134"/>
  <sheetViews>
    <sheetView showGridLines="0" zoomScale="76" zoomScaleNormal="76" zoomScalePageLayoutView="76" workbookViewId="0">
      <selection activeCell="J18" sqref="J18"/>
    </sheetView>
  </sheetViews>
  <sheetFormatPr baseColWidth="10" defaultColWidth="8.6640625" defaultRowHeight="15"/>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c r="A1" s="287" t="str">
        <f>CONCATENATE("L'Approche Raisonnée de l'Élimination de la Rage ( SARE ) - ",PAYS!E4," ",YEAR(PAYS!F14))</f>
        <v>L'Approche Raisonnée de l'Élimination de la Rage ( SARE ) - Benin 2016</v>
      </c>
      <c r="B1" s="288"/>
      <c r="C1" s="288"/>
      <c r="D1" s="288"/>
      <c r="E1" s="288"/>
      <c r="F1" s="288"/>
      <c r="G1" s="288"/>
      <c r="H1" s="288"/>
      <c r="I1" s="288"/>
      <c r="J1" s="289"/>
    </row>
    <row r="2" spans="1:10" s="105" customFormat="1" ht="8.25" customHeight="1" thickBot="1">
      <c r="A2" s="103"/>
      <c r="B2" s="103"/>
      <c r="C2" s="103"/>
      <c r="D2" s="104"/>
      <c r="E2" s="103"/>
      <c r="F2" s="103"/>
      <c r="G2" s="103"/>
      <c r="H2" s="103"/>
      <c r="I2" s="103"/>
      <c r="J2" s="103"/>
    </row>
    <row r="3" spans="1:10" ht="43.5" customHeight="1" thickBot="1">
      <c r="A3" s="295" t="str">
        <f>CONCATENATE("ÉTAPE   ",((INDEX(E7:E18,MATCH("EN ATTENDANT",J7:J18,0)))))</f>
        <v>ÉTAPE   0,5</v>
      </c>
      <c r="B3" s="296"/>
      <c r="C3" s="296"/>
      <c r="D3" s="296"/>
      <c r="E3" s="296"/>
      <c r="F3" s="296"/>
      <c r="G3" s="296"/>
      <c r="H3" s="296"/>
      <c r="I3" s="296"/>
      <c r="J3" s="297"/>
    </row>
    <row r="4" spans="1:10" s="96" customFormat="1" ht="8.25" customHeight="1" thickBot="1">
      <c r="A4" s="106"/>
      <c r="B4" s="107"/>
      <c r="C4" s="107"/>
      <c r="E4" s="108"/>
      <c r="F4" s="108"/>
      <c r="G4" s="108"/>
      <c r="H4" s="108"/>
      <c r="I4" s="108"/>
      <c r="J4" s="108"/>
    </row>
    <row r="5" spans="1:10" s="66" customFormat="1" ht="34.5" customHeight="1" thickBot="1">
      <c r="A5" s="290" t="s">
        <v>554</v>
      </c>
      <c r="B5" s="291"/>
      <c r="C5" s="292"/>
      <c r="E5" s="276" t="s">
        <v>564</v>
      </c>
      <c r="F5" s="277"/>
      <c r="G5" s="277"/>
      <c r="H5" s="277"/>
      <c r="I5" s="277"/>
      <c r="J5" s="278"/>
    </row>
    <row r="6" spans="1:10" ht="52" thickBot="1">
      <c r="A6" s="31" t="s">
        <v>285</v>
      </c>
      <c r="B6" s="41" t="s">
        <v>555</v>
      </c>
      <c r="C6" s="41" t="s">
        <v>556</v>
      </c>
      <c r="E6" s="293" t="s">
        <v>409</v>
      </c>
      <c r="F6" s="294"/>
      <c r="G6" s="41" t="s">
        <v>555</v>
      </c>
      <c r="H6" s="41" t="s">
        <v>556</v>
      </c>
      <c r="I6" s="79" t="s">
        <v>558</v>
      </c>
      <c r="J6" s="82" t="s">
        <v>557</v>
      </c>
    </row>
    <row r="7" spans="1:10" ht="30.75" customHeight="1">
      <c r="A7" s="298" t="s">
        <v>559</v>
      </c>
      <c r="B7" s="67">
        <f>(COUNT(STATUS))-C7</f>
        <v>5</v>
      </c>
      <c r="C7" s="68">
        <f>SUM(LÉGISLATION!E:E)</f>
        <v>10</v>
      </c>
      <c r="E7" s="84">
        <v>0</v>
      </c>
      <c r="F7" s="282" t="s">
        <v>565</v>
      </c>
      <c r="G7" s="283">
        <f>COUNTIF('SUMMARY (Stage)'!B6:B10,"?*")+COUNTIF('SUMMARY (Stage)'!E6:E10,"?*")+COUNTIF('SUMMARY (Stage)'!H6:H10,"?*")+COUNTIF('SUMMARY (Stage)'!K6:K10,"?*")+COUNTIF('SUMMARY (Stage)'!N6:N10,"?*")+COUNTIF('SUMMARY (Stage)'!Q6:Q10,"?*")+COUNTIF('SUMMARY (Stage)'!T6:T10,"?*")</f>
        <v>1</v>
      </c>
      <c r="H7" s="283">
        <f>COUNTIF('SUMMARY (Stage)'!C6:C10,"?*")+COUNTIF('SUMMARY (Stage)'!F6:F10,"?*")+COUNTIF('SUMMARY (Stage)'!I6:I10,"?*")+COUNTIF('SUMMARY (Stage)'!L6:L10,"?*")+COUNTIF('SUMMARY (Stage)'!O6:O10,"?*")+COUNTIF('SUMMARY (Stage)'!R6:R10,"?*")+COUNTIF('SUMMARY (Stage)'!U6:U10,"?*")</f>
        <v>6</v>
      </c>
      <c r="I7" s="284">
        <f>COUNTIF(LÉGISLATION!E11,"1")+COUNTIF('DIAGNOSTIC DE LABORATOIRE'!E5,"1")+COUNTIF('DIAGNOSTIC DE LABORATOIRE'!E6,"1")+COUNTIF('DIAGNOSTIC DE LABORATOIRE'!E7,"1")</f>
        <v>3</v>
      </c>
      <c r="J7" s="206" t="str">
        <f>IF(I7&gt;=2,"TERMINÉ",IF(AND(I7&gt;=1,H7&gt;=4),"TERMINÉ","EN ATTENDANT"))</f>
        <v>TERMINÉ</v>
      </c>
    </row>
    <row r="8" spans="1:10" ht="30.75" customHeight="1">
      <c r="A8" s="299"/>
      <c r="B8" s="67"/>
      <c r="C8" s="68"/>
      <c r="E8" s="85">
        <v>0.5</v>
      </c>
      <c r="F8" s="279"/>
      <c r="G8" s="280"/>
      <c r="H8" s="280"/>
      <c r="I8" s="281"/>
      <c r="J8" s="207" t="str">
        <f>IF(I7=4,"TERMINÉ","EN ATTENDANT")</f>
        <v>EN ATTENDANT</v>
      </c>
    </row>
    <row r="9" spans="1:10" ht="30.75" customHeight="1">
      <c r="A9" s="299" t="s">
        <v>560</v>
      </c>
      <c r="B9" s="67">
        <f>(COUNT(datastatus)-'SUMMARY (Score)'!C9)</f>
        <v>11</v>
      </c>
      <c r="C9" s="68">
        <f>SUM('COLLECTE DE DONNÉES ET ANALYSE'!E:E)</f>
        <v>7</v>
      </c>
      <c r="E9" s="86">
        <v>1</v>
      </c>
      <c r="F9" s="285" t="s">
        <v>566</v>
      </c>
      <c r="G9" s="272">
        <f>COUNTIF('SUMMARY (Stage)'!B11:B19,"?*")+COUNTIF('SUMMARY (Stage)'!E11:E19,"?*")+COUNTIF('SUMMARY (Stage)'!H11:H19,"?*")+COUNTIF('SUMMARY (Stage)'!K11:K19,"?*")+COUNTIF('SUMMARY (Stage)'!N11:N19,"?*")+COUNTIF('SUMMARY (Stage)'!Q11:Q19,"?*")+COUNTIF('SUMMARY (Stage)'!T11:T19,"?*")</f>
        <v>10</v>
      </c>
      <c r="H9" s="272">
        <f>COUNTIF('SUMMARY (Stage)'!C11:C19,"?*")+COUNTIF('SUMMARY (Stage)'!F11:F19,"?*")+COUNTIF('SUMMARY (Stage)'!I11:I19,"?*")+COUNTIF('SUMMARY (Stage)'!L11:L19,"?*")+COUNTIF('SUMMARY (Stage)'!O11:O19,"?*")+COUNTIF('SUMMARY (Stage)'!R11:R19,"?*")+COUNTIF('SUMMARY (Stage)'!U11:U19,"?*")</f>
        <v>20</v>
      </c>
      <c r="I9" s="274">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8</v>
      </c>
      <c r="J9" s="208" t="str">
        <f>IF(I9&gt;=5,"TERMINÉ",IF(AND(I9&gt;=1,H9&gt;16),"TERMINÉ","EN ATTENDANT"))</f>
        <v>TERMINÉ</v>
      </c>
    </row>
    <row r="10" spans="1:10" ht="30.75" customHeight="1">
      <c r="A10" s="299"/>
      <c r="B10" s="67"/>
      <c r="C10" s="68"/>
      <c r="E10" s="87">
        <v>1.5</v>
      </c>
      <c r="F10" s="286"/>
      <c r="G10" s="273"/>
      <c r="H10" s="273"/>
      <c r="I10" s="275"/>
      <c r="J10" s="209" t="str">
        <f>IF(I9=10,"TERMINÉ","EN ATTENDANT")</f>
        <v>EN ATTENDANT</v>
      </c>
    </row>
    <row r="11" spans="1:10" ht="30.75" customHeight="1">
      <c r="A11" s="299" t="s">
        <v>561</v>
      </c>
      <c r="B11" s="67">
        <f>COUNT(labstatus)-'SUMMARY (Score)'!C11</f>
        <v>6</v>
      </c>
      <c r="C11" s="68">
        <f>SUM('DIAGNOSTIC DE LABORATOIRE'!E:E)</f>
        <v>5</v>
      </c>
      <c r="E11" s="86">
        <v>2</v>
      </c>
      <c r="F11" s="285" t="s">
        <v>567</v>
      </c>
      <c r="G11" s="272">
        <f>COUNTIF('SUMMARY (Stage)'!B20:B28,"?*")+COUNTIF('SUMMARY (Stage)'!E20:E28,"?*")+COUNTIF('SUMMARY (Stage)'!H20:H28,"?*")+COUNTIF('SUMMARY (Stage)'!K20:K28,"?*")+COUNTIF('SUMMARY (Stage)'!N20:N28,"?*")+COUNTIF('SUMMARY (Stage)'!Q20:Q28,"?*")+COUNTIF('SUMMARY (Stage)'!T20:T28,"?*")</f>
        <v>9</v>
      </c>
      <c r="H11" s="272">
        <f>COUNTIF('SUMMARY (Stage)'!C20:C28,"?*")+COUNTIF('SUMMARY (Stage)'!F20:F28,"?*")+COUNTIF('SUMMARY (Stage)'!I20:I28,"?*")+COUNTIF('SUMMARY (Stage)'!L20:L28,"?*")+COUNTIF('SUMMARY (Stage)'!O20:O28,"?*")+COUNTIF('SUMMARY (Stage)'!R20:R28,"?*")+COUNTIF('SUMMARY (Stage)'!U20:U28,"?*")</f>
        <v>16</v>
      </c>
      <c r="I11" s="274">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2</v>
      </c>
      <c r="J11" s="208" t="str">
        <f>IF(I11&gt;=4,"TERMINÉ",IF(AND(I11&gt;=1,H11&gt;13),"TERMINÉ","EN ATTENDANT"))</f>
        <v>TERMINÉ</v>
      </c>
    </row>
    <row r="12" spans="1:10" ht="30.75" customHeight="1">
      <c r="A12" s="299"/>
      <c r="B12" s="67"/>
      <c r="C12" s="68"/>
      <c r="E12" s="87">
        <v>2.5</v>
      </c>
      <c r="F12" s="286"/>
      <c r="G12" s="273"/>
      <c r="H12" s="273"/>
      <c r="I12" s="275"/>
      <c r="J12" s="209" t="str">
        <f>IF(I11=8,"TERMINÉ","EN ATTENDANT")</f>
        <v>EN ATTENDANT</v>
      </c>
    </row>
    <row r="13" spans="1:10" ht="30.75" customHeight="1">
      <c r="A13" s="299" t="s">
        <v>578</v>
      </c>
      <c r="B13" s="67">
        <f>COUNT(iecstatus)-'SUMMARY (Score)'!C13</f>
        <v>2</v>
      </c>
      <c r="C13" s="68">
        <f>SUM('INFORMATION, ÉDUCTION ET LA COM'!E:E)</f>
        <v>15</v>
      </c>
      <c r="E13" s="85">
        <v>3</v>
      </c>
      <c r="F13" s="279" t="s">
        <v>568</v>
      </c>
      <c r="G13" s="280">
        <f>COUNTIF('SUMMARY (Stage)'!B29:B37,"?*")+COUNTIF('SUMMARY (Stage)'!E29:E37,"?*")+COUNTIF('SUMMARY (Stage)'!H29:H37,"?*")+COUNTIF('SUMMARY (Stage)'!K29:K37,"?*")+COUNTIF('SUMMARY (Stage)'!N29:N37,"?*")+COUNTIF('SUMMARY (Stage)'!Q29:Q37,"?*")+COUNTIF('SUMMARY (Stage)'!T29:T37,"?*")</f>
        <v>14</v>
      </c>
      <c r="H13" s="280">
        <f>COUNTIF('SUMMARY (Stage)'!C29:C37,"?*")+COUNTIF('SUMMARY (Stage)'!F29:F37,"?*")+COUNTIF('SUMMARY (Stage)'!I29:I37,"?*")+COUNTIF('SUMMARY (Stage)'!L29:L37,"?*")+COUNTIF('SUMMARY (Stage)'!O29:O37,"?*")+COUNTIF('SUMMARY (Stage)'!R29:R37,"?*")+COUNTIF('SUMMARY (Stage)'!U29:U37,"?*")</f>
        <v>4</v>
      </c>
      <c r="I13" s="281">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1</v>
      </c>
      <c r="J13" s="207" t="str">
        <f>IF(I13&gt;4,"TERMINÉ",IF(AND(I13&gt;=1,H13&gt;9),"TERMINÉ","EN ATTENDANT"))</f>
        <v>EN ATTENDANT</v>
      </c>
    </row>
    <row r="14" spans="1:10" ht="30.75" customHeight="1">
      <c r="A14" s="299"/>
      <c r="B14" s="67"/>
      <c r="C14" s="68"/>
      <c r="E14" s="85">
        <v>3.5</v>
      </c>
      <c r="F14" s="279"/>
      <c r="G14" s="280"/>
      <c r="H14" s="280"/>
      <c r="I14" s="281"/>
      <c r="J14" s="207" t="str">
        <f>IF(I13=9,"TERMINÉ","EN ATTENDANT")</f>
        <v>EN ATTENDANT</v>
      </c>
    </row>
    <row r="15" spans="1:10" ht="30.75" customHeight="1">
      <c r="A15" s="299" t="s">
        <v>562</v>
      </c>
      <c r="B15" s="67">
        <f>COUNT(prevstatus)-'SUMMARY (Score)'!C15</f>
        <v>16</v>
      </c>
      <c r="C15" s="68">
        <f>SUM('PRÉVENTION ET DE CONTRÔLE'!E:E)</f>
        <v>9</v>
      </c>
      <c r="E15" s="86">
        <v>4</v>
      </c>
      <c r="F15" s="285" t="s">
        <v>569</v>
      </c>
      <c r="G15" s="272">
        <f>COUNTIF('SUMMARY (Stage)'!B38:B46,"?*")+COUNTIF('SUMMARY (Stage)'!E38:E46,"?*")+COUNTIF('SUMMARY (Stage)'!H38:H46,"?*")+COUNTIF('SUMMARY (Stage)'!K38:K46,"?*")+COUNTIF('SUMMARY (Stage)'!N38:N46,"?*")+COUNTIF('SUMMARY (Stage)'!Q38:Q46,"?*")+COUNTIF('SUMMARY (Stage)'!T38:T46,"?*")</f>
        <v>9</v>
      </c>
      <c r="H15" s="272">
        <f>COUNTIF('SUMMARY (Stage)'!C38:C46,"?*")+COUNTIF('SUMMARY (Stage)'!F38:F46,"?*")+COUNTIF('SUMMARY (Stage)'!I38:I46,"?*")+COUNTIF('SUMMARY (Stage)'!L38:L46,"?*")+COUNTIF('SUMMARY (Stage)'!O38:O46,"?*")+COUNTIF('SUMMARY (Stage)'!R38:R46,"?*")+COUNTIF('SUMMARY (Stage)'!U38:U46,"?*")</f>
        <v>3</v>
      </c>
      <c r="I15" s="274">
        <f>COUNTIF('DIAGNOSTIC DE LABORATOIRE'!E13,"1")+COUNTIF('COLLECTE DE DONNÉES ET ANALYSE'!E18,"1")+COUNTIF('COLLECTE DE DONNÉES ET ANALYSE'!E19,"1")+COUNTIF('PRÉVENTION ET DE CONTRÔLE'!E18,"1")+COUNTIF('PRÉVENTION ET DE CONTRÔLE'!E26,"1")+COUNTIF(LÉGISLATION!E19,"1")+COUNTIF('PRÉVENTION ET DE CONTRÔLE'!E28,"1")</f>
        <v>1</v>
      </c>
      <c r="J15" s="208" t="str">
        <f>IF(I15&gt;3,"TERMINÉ",IF(AND(I15&gt;=1,H15&gt;6),"TERMINÉ","EN ATTENDANT"))</f>
        <v>EN ATTENDANT</v>
      </c>
    </row>
    <row r="16" spans="1:10" ht="30.75" customHeight="1">
      <c r="A16" s="299"/>
      <c r="B16" s="67"/>
      <c r="C16" s="68"/>
      <c r="E16" s="87">
        <v>4.5</v>
      </c>
      <c r="F16" s="286"/>
      <c r="G16" s="273"/>
      <c r="H16" s="273"/>
      <c r="I16" s="275"/>
      <c r="J16" s="209" t="str">
        <f>IF(I15=7,"TERMINÉ","EN ATTENDANT")</f>
        <v>EN ATTENDANT</v>
      </c>
    </row>
    <row r="17" spans="1:11" ht="30.75" customHeight="1" thickBot="1">
      <c r="A17" s="299"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3</v>
      </c>
      <c r="H17" s="70">
        <f>COUNTIF('SUMMARY (Stage)'!C47:C55,"?*")+COUNTIF('SUMMARY (Stage)'!F47:F55,"?*")+COUNTIF('SUMMARY (Stage)'!I47:I55,"?*")+COUNTIF('SUMMARY (Stage)'!L47:L55,"?*")+COUNTIF('SUMMARY (Stage)'!O47:O55,"?*")+COUNTIF('SUMMARY (Stage)'!R47:R55,"?*")+COUNTIF('SUMMARY (Stage)'!U47:U55,"?*")</f>
        <v>3</v>
      </c>
      <c r="I17" s="80">
        <f>H17</f>
        <v>3</v>
      </c>
      <c r="J17" s="210" t="str">
        <f>IF(I17=7,"TERMINÉ","EN ATTENDANT")</f>
        <v>EN ATTENDANT</v>
      </c>
    </row>
    <row r="18" spans="1:11" ht="30.75" customHeight="1">
      <c r="A18" s="299"/>
      <c r="B18" s="67"/>
      <c r="C18" s="68"/>
      <c r="E18" s="195">
        <v>5</v>
      </c>
      <c r="G18" s="59"/>
      <c r="J18" s="16" t="s">
        <v>575</v>
      </c>
    </row>
    <row r="19" spans="1:11" ht="30.75" customHeight="1" thickBot="1">
      <c r="A19" s="109" t="s">
        <v>563</v>
      </c>
      <c r="B19" s="110">
        <f>COUNT(crossstatus)-'SUMMARY (Score)'!C19</f>
        <v>6</v>
      </c>
      <c r="C19" s="69">
        <f>SUM('QUESTIONS TRANSVERSALES'!E:E)</f>
        <v>6</v>
      </c>
      <c r="G19" s="59"/>
    </row>
    <row r="20" spans="1:11">
      <c r="B20" s="55"/>
      <c r="G20" s="59"/>
    </row>
    <row r="21" spans="1:11">
      <c r="B21" s="55"/>
      <c r="G21" s="59"/>
    </row>
    <row r="22" spans="1:11">
      <c r="B22" s="55"/>
      <c r="G22" s="59"/>
    </row>
    <row r="23" spans="1:11">
      <c r="B23" s="55"/>
      <c r="G23" s="59"/>
    </row>
    <row r="24" spans="1:11">
      <c r="B24" s="55"/>
      <c r="G24" s="59"/>
    </row>
    <row r="25" spans="1:11" ht="17">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sheet="1" objects="1" scenarios="1" formatColumns="0"/>
  <mergeCells count="31">
    <mergeCell ref="A13:A14"/>
    <mergeCell ref="A15:A16"/>
    <mergeCell ref="A17:A18"/>
    <mergeCell ref="F11:F12"/>
    <mergeCell ref="G11:G12"/>
    <mergeCell ref="A11:A12"/>
    <mergeCell ref="F15:F16"/>
    <mergeCell ref="G15:G16"/>
    <mergeCell ref="A1:J1"/>
    <mergeCell ref="A5:C5"/>
    <mergeCell ref="E6:F6"/>
    <mergeCell ref="A3:J3"/>
    <mergeCell ref="G9:G10"/>
    <mergeCell ref="H9:H10"/>
    <mergeCell ref="I9:I10"/>
    <mergeCell ref="A7:A8"/>
    <mergeCell ref="A9:A10"/>
    <mergeCell ref="H15:H16"/>
    <mergeCell ref="I15:I16"/>
    <mergeCell ref="E5:J5"/>
    <mergeCell ref="H11:H12"/>
    <mergeCell ref="I11:I12"/>
    <mergeCell ref="F13:F14"/>
    <mergeCell ref="G13:G14"/>
    <mergeCell ref="H13:H14"/>
    <mergeCell ref="I13:I14"/>
    <mergeCell ref="F7:F8"/>
    <mergeCell ref="G7:G8"/>
    <mergeCell ref="H7:H8"/>
    <mergeCell ref="I7:I8"/>
    <mergeCell ref="F9:F10"/>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5"/>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9">
      <c r="A1" s="37" t="s">
        <v>15</v>
      </c>
      <c r="E1" s="57" t="str">
        <f>IF(ISBLANK(PAYS!E4:I4),"",UPPER(PAYS!E4:I4))</f>
        <v>BENIN</v>
      </c>
      <c r="F1" s="58">
        <f>IF(ISBLANK(PAYS!F14:I14),"",PAYS!F14:I14)</f>
        <v>42550</v>
      </c>
    </row>
    <row r="2" spans="1:26">
      <c r="A2" s="12" t="s">
        <v>14</v>
      </c>
    </row>
    <row r="4" spans="1:26" ht="14"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0">
      <c r="A6" s="53">
        <v>0</v>
      </c>
      <c r="B6" s="165" t="str">
        <f t="array" ref="B6">IF(ROWS(B$6:B6)&lt;=$A$7,INDEX(LÉGISLATION!$C$5:$C$19,SMALL(IF(STAGE=0,IF(STATUS=0,ROW(STATUS)-ROW(LÉGISLATION!$E$5)+1)),ROWS(B$6:B6))),"")</f>
        <v>L’autorité nationale annonce au moins un cas de rage confirmé à l’OMS ou l’OIE</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60">
      <c r="A7" s="43">
        <f>SUMPRODUCT((STAGE=0)*(STATUS=0))</f>
        <v>1</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0</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Au moins un échantillon suspect de rage (animal, homme) est soumis à un laboratoire international de référence de rage pour la confirmation</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75">
      <c r="A8" s="43">
        <f>SUMPRODUCT((STAGE=0)*(STATUS=1))</f>
        <v>2</v>
      </c>
      <c r="B8" s="178" t="str">
        <f t="array" ref="B8">IF(ROWS(B$6:B8)&lt;=$A$7,INDEX(LÉGISLATION!$C$5:$C$19,SMALL(IF(STAGE=0,IF(STATUS=0,ROW(STATUS)-ROW(LÉGISLATION!$E$5)+1)),ROWS(B$6:B8))),"")</f>
        <v/>
      </c>
      <c r="C8" s="173" t="str">
        <f t="array" ref="C8">IF(ROWS(C$6:C8)&lt;=$A$8,INDEX(LÉGISLATION!$C$5:$C$19,SMALL(IF(STAGE=0,IF(STATUS=1,ROW(STATUS)-ROW(LÉGISLATION!$E$5)+1)),ROWS(C$6:C8))),"")</f>
        <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3</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Des échantillons suspects de rage (animaux, humaine) sont soumis à un laboratoire national et analysés par une méthode recommandée au niveau international</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60">
      <c r="A11" s="53">
        <v>1</v>
      </c>
      <c r="B11" s="165" t="str">
        <f t="array" ref="B11">IF(ROWS(B$11:B11)&lt;=$A$12,INDEX(LÉGISLATION!$C$5:$C$19,SMALL(IF(STAGE=1,IF(STATUS=0,ROW(STATUS)-ROW(LÉGISLATION!$E$5)+1)),ROWS(B$11:B11))),"")</f>
        <v>La définition de cas de rage humaine a été disséminée aux professionnels concernés</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La capacité d'analyse des données sur les cas de rage canine au niveau national est introduite</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La capacité de diagnostic de la rage a été établi dans au moins un laboratoire national</v>
      </c>
      <c r="I11" s="170" t="str">
        <f t="array" ref="I11">IF(ROWS(I$11:I11)&lt;=$G$13,INDEX('DIAGNOSTIC DE LABORATOIRE'!$C$5:$C$15,SMALL(IF(labstage=1,IF(labstatus=1,ROW(labstatus)-ROW('DIAGNOSTIC DE LABORATOIRE'!$F$5)+1)),ROWS(I$11:I11))),"")</f>
        <v/>
      </c>
      <c r="J11" s="168"/>
      <c r="K11" s="165" t="str">
        <f t="array" ref="K11">IF(ROWS(K$11:K11)&lt;=$J$12,INDEX('INFORMATION, ÉDUCTION ET LA COM'!$C$5:$C$21,SMALL(IF(iecstage=1,IF(iecstatus=0,ROW(iecstatus)-ROW('INFORMATION, ÉDUCTION ET LA COM'!$E$5)+1)),ROWS(K$11:K11))),"")</f>
        <v/>
      </c>
      <c r="L11" s="166" t="str">
        <f t="array" ref="L11">IF(ROWS(L$11:L11)&lt;=$J$13,INDEX('INFORMATION, ÉDUCTION ET LA COM'!$C$5:$C$21,SMALL(IF(iecstage=1,IF(iecstatus=1,ROW(iecstatus)-ROW('INFORMATION, ÉDUCTION ET LA COM'!$E$5)+1)),ROWS(L$11:L11))),"")</f>
        <v>Des études sur 'Knowledge, Attitude and Practice (KAP survey)' sur la rage ont été menées dans des zones pilotes</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Basé sur l'expérience de la zone pilote, un plan d'action de lutte contre la rage à court terme a été élaboré et approuvé par les parties prenantes au niveau local / national</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105">
      <c r="A12" s="46">
        <f>SUMPRODUCT((STAGE=1)*(STATUS=0))</f>
        <v>2</v>
      </c>
      <c r="B12" s="178" t="str">
        <f t="array" ref="B12">IF(ROWS(B$11:B12)&lt;=$A$12,INDEX(LÉGISLATION!$C$5:$C$19,SMALL(IF(STAGE=1,IF(STATUS=0,ROW(STATUS)-ROW(LÉGISLATION!$E$5)+1)),ROWS(B$11:B12))),"")</f>
        <v>La législation comprend la vaccination obligatoire des chiens contre la rage, ou au moins propose la vaccination si la législation n’existe pas</v>
      </c>
      <c r="C12" s="173" t="str">
        <f t="array" ref="C12">IF(ROWS(C$11:C12)&lt;=$A$13,INDEX(LÉGISLATION!$C$5:$C$19,SMALL(IF(STAGE=1,IF(STATUS=1,ROW(STATUS)-ROW(LÉGISLATION!$E$5)+1)),ROWS(C$11:C12))),"")</f>
        <v>Il existe un système juridique en matière de la prévention et du contrôle de la rage</v>
      </c>
      <c r="D12" s="188">
        <f>SUMPRODUCT((datastage=1)*(datastatus=0))</f>
        <v>3</v>
      </c>
      <c r="E12" s="178" t="str">
        <f t="array" ref="E12">IF(ROWS(E$11:E12)&lt;=$D$12,INDEX('COLLECTE DE DONNÉES ET ANALYSE'!$C$5:$C$22,SMALL(IF(datastage=1,IF(datastatus=0,ROW(datastatus)-ROW('COLLECTE DE DONNÉES ET ANALYSE'!$E$5)+1)),ROWS(E$11:E12))),"")</f>
        <v>La capacité d'analyse des données sur les cas de rage humaine au niveau national est introduite</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1</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0</v>
      </c>
      <c r="K12" s="178" t="str">
        <f t="array" ref="K12">IF(ROWS(K$11:K12)&lt;=$J$12,INDEX('INFORMATION, ÉDUCTION ET LA COM'!$C$5:$C$21,SMALL(IF(iecstage=1,IF(iecstatus=0,ROW(iecstatus)-ROW('INFORMATION, ÉDUCTION ET LA COM'!$E$5)+1)),ROWS(K$11:K12))),"")</f>
        <v/>
      </c>
      <c r="L12" s="173" t="str">
        <f t="array" ref="L12">IF(ROWS(L$11:L12)&lt;=$J$13,INDEX('INFORMATION, ÉDUCTION ET LA COM'!$C$5:$C$21,SMALL(IF(iecstage=1,IF(iecstatus=1,ROW(iecstatus)-ROW('INFORMATION, ÉDUCTION ET LA COM'!$E$5)+1)),ROWS(L$11:L12))),"")</f>
        <v>Les publics cibles ont été identifiés pour les communications publiques, professionnelles et de plaidoyer (communautés à risque, les propriétaires de chiens, les professionnels de la santé, leader de la communauté/autorités à risque, politiciens)</v>
      </c>
      <c r="M12" s="179">
        <f>SUMPRODUCT((prevstage=1)*(prevstatus=0))</f>
        <v>2</v>
      </c>
      <c r="N12" s="176" t="str">
        <f t="array" ref="N12">IF(ROWS(N$11:N12)&lt;=$M$12,INDEX('PRÉVENTION ET DE CONTRÔLE'!$C$5:$C$29,SMALL(IF(prevstage=1,IF(prevstatus=0,ROW(prevstatus)-ROW('PRÉVENTION ET DE CONTRÔLE'!$E$5)+1)),ROWS(N$11:N12))),"")</f>
        <v>Autres activités de contrôle de la rage tels que IBCM (Integrated Bite Case Management; Gestion intégrée de cas de morsure), la gestion de la population canine ont été mises en œuvre (au moins dans les zones pilotes)</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2</v>
      </c>
      <c r="T12" s="176" t="str">
        <f t="array" ref="T12">IF(ROWS(T$11:T12)&lt;=$S$12,INDEX('QUESTIONS TRANSVERSALES'!$C$5:$C$16,SMALL(IF(crossstage=1,IF(crossstatus=0,ROW(crossstatus)-ROW('QUESTIONS TRANSVERSALES'!$E$5)+1)),ROWS(T$11:T12))),"")</f>
        <v>Les mécanismes de mobilisation de fonds d'urgence en cas d'épidémie ont été identifiés</v>
      </c>
      <c r="U12" s="177" t="str">
        <f t="array" ref="U12">IF(ROWS(U$11:U12)&lt;=$S$13,INDEX('QUESTIONS TRANSVERSALES'!$C$5:$C$16,SMALL(IF(crossstage=1,IF(crossstatus=1,ROW(crossstatus)-ROW('QUESTIONS TRANSVERSALES'!$E$5)+1)),ROWS(U$11:U12))),"")</f>
        <v>Les consultations des acteurs ont eu lieu dans les 3 dernières années</v>
      </c>
      <c r="Z12" s="90"/>
    </row>
    <row r="13" spans="1:26" s="15" customFormat="1" ht="60">
      <c r="A13" s="46">
        <f>SUMPRODUCT((STAGE=1)*(STATUS=1))</f>
        <v>6</v>
      </c>
      <c r="B13" s="178" t="str">
        <f t="array" ref="B13">IF(ROWS(B$11:B13)&lt;=$A$12,INDEX(LÉGISLATION!$C$5:$C$19,SMALL(IF(STAGE=1,IF(STATUS=0,ROW(STATUS)-ROW(LÉGISLATION!$E$5)+1)),ROWS(B$11:B13))),"")</f>
        <v/>
      </c>
      <c r="C13" s="173" t="str">
        <f t="array" ref="C13">IF(ROWS(C$11:C13)&lt;=$A$13,INDEX(LÉGISLATION!$C$5:$C$19,SMALL(IF(STAGE=1,IF(STATUS=1,ROW(STATUS)-ROW(LÉGISLATION!$E$5)+1)),ROWS(C$11:C13))),"")</f>
        <v>S'il existe un système juridique, il a été testé pour déterminer s’il est adéquat.</v>
      </c>
      <c r="D13" s="188">
        <f>SUMPRODUCT((datastage=1)*(datastatus=1))</f>
        <v>3</v>
      </c>
      <c r="E13" s="178" t="str">
        <f t="array" ref="E13">IF(ROWS(E$11:E13)&lt;=$D$12,INDEX('COLLECTE DE DONNÉES ET ANALYSE'!$C$5:$C$22,SMALL(IF(datastage=1,IF(datastatus=0,ROW(datastatus)-ROW('COLLECTE DE DONNÉES ET ANALYSE'!$E$5)+1)),ROWS(E$11:E13))),"")</f>
        <v xml:space="preserve">Des études sur la population canine ont été effectuées dans les zones pilotes pour déterminer la taille,  la dynamique et l’accessibilité </v>
      </c>
      <c r="F13" s="173" t="str">
        <f t="array" ref="F13">IF(ROWS(F$11:F13)&lt;=$D$13,INDEX('COLLECTE DE DONNÉES ET ANALYSE'!$C$5:$C$22,SMALL(IF(datastage=1,IF(datastatus=1,ROW(datastatus)-ROW('COLLECTE DE DONNÉES ET ANALYSE'!$E$5)+1)),ROWS(F$11:F13))),"")</f>
        <v xml:space="preserve">Des registres de morsures de chiens sont examinés et les données sont compilées </v>
      </c>
      <c r="G13" s="175">
        <f>SUMPRODUCT((labstage=1)*(labstatus=1))</f>
        <v>0</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5</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Un plan de communication de la rage a été développé pour les publics cibles des communautés, professionnels et de plaidoyer</v>
      </c>
      <c r="M13" s="179">
        <f>SUMPRODUCT((prevstage=1)*(prevstatus=1))</f>
        <v>3</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La vaccination des chiens dans certaines régions ou zones pilotes du pays a commencé</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3</v>
      </c>
      <c r="T13" s="176" t="str">
        <f t="array" ref="T13">IF(ROWS(T$11:T13)&lt;=$S$12,INDEX('QUESTIONS TRANSVERSALES'!$C$5:$C$16,SMALL(IF(crossstage=1,IF(crossstatus=0,ROW(crossstatus)-ROW('QUESTIONS TRANSVERSALES'!$E$5)+1)),ROWS(T$11:T13))),"")</f>
        <v/>
      </c>
      <c r="U13" s="177" t="str">
        <f t="array" ref="U13">IF(ROWS(U$11:U13)&lt;=$S$13,INDEX('QUESTIONS TRANSVERSALES'!$C$5:$C$16,SMALL(IF(crossstage=1,IF(crossstatus=1,ROW(crossstatus)-ROW('QUESTIONS TRANSVERSALES'!$E$5)+1)),ROWS(U$11:U13))),"")</f>
        <v>Un groupe de travail intersectoriel ou un comité au niveau local ou national a été créé et se réunit au moins deux fois par an</v>
      </c>
      <c r="Z13" s="90"/>
    </row>
    <row r="14" spans="1:26" s="15" customFormat="1" ht="60">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animale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Education sur la prévention et le contrôle des communautés, y compris la prévention et la gestion des morsures de chien morsure de chien rage ont été explorées</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60">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rage humaine est une maladie à déclaration obligatoire</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Des formations ou des cours de mis à niveau sur la rage pour les professionnels de la santé humaine et animale ont été initiés</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30">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des mesures d’intervention concernant une épidémie</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75">
      <c r="A20" s="53">
        <v>2</v>
      </c>
      <c r="B20" s="165" t="str">
        <f t="array" ref="B20">IF(ROWS(B$20:B20)&lt;=$A$21,INDEX(LÉGISLATION!$C$5:$C$19,SMALL(IF(STAGE=2,IF(STATUS=0,ROW(STATUS)-ROW(LÉGISLATION!$E$5)+1)),ROWS(B$20:B20))),"")</f>
        <v>Les cadres juridiques avec des spécifications relatives à la vaccination obligatoire des chiens et le mouvement international des animaux ont été mis à jour</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Des systèmes de surveillance de rage humaine, y compris des mécanismes de rétroaction, sont coordonnés entre les niveaux administratifs (national, province, district, municipal, etc.)</v>
      </c>
      <c r="F20" s="166" t="str">
        <f t="array" ref="F20">IF(ROWS(F$20:F20)&lt;=$D$22,INDEX('COLLECTE DE DONNÉES ET ANALYSE'!$C$5:$C$22,SMALL(IF(datastage=2,IF(datastatus=1,ROW(datastatus)-ROW('COLLECTE DE DONNÉES ET ANALYSE'!$E$5)+1)),ROWS(F$20:F20))),"")</f>
        <v>Mise en place de systèmes de surveillance de rage humaine et animale associés, y compris des SOPs (Modes opératoires standardisés)</v>
      </c>
      <c r="G20" s="168"/>
      <c r="H20" s="169" t="str">
        <f t="array" ref="H20">IF(ROWS(H$20:H20)&lt;=$G$21,INDEX('DIAGNOSTIC DE LABORATOIRE'!$C$5:$C$15,SMALL(IF(labstage=2,IF(labstatus=0,ROW(labstatus)-ROW('DIAGNOSTIC DE LABORATOIRE'!$E$5)+1)),ROWS(H$20:H20))),"")</f>
        <v>Des diagnostics de routine des cas de rage animale en laboratoire sont effectués dans le pays</v>
      </c>
      <c r="I20" s="170" t="str">
        <f t="array" ref="I20">IF(ROWS(I$20:I20)&lt;=$G$22,INDEX('DIAGNOSTIC DE LABORATOIRE'!$C$5:$C$15,SMALL(IF(labstage=2,IF(labstatus=1,ROW(labstatus)-ROW('DIAGNOSTIC DE LABORATOIRE'!$F$5)+1)),ROWS(I$20:I20))),"")</f>
        <v>La capacité de collecte d'échantillons et de transport a été établie</v>
      </c>
      <c r="J20" s="168"/>
      <c r="K20" s="165" t="str">
        <f t="array" ref="K20">IF(ROWS(K$20:K20)&lt;=$J$21,INDEX('INFORMATION, ÉDUCTION ET LA COM'!$C$5:$C$21,SMALL(IF(iecstage=2,IF(iecstatus=0,ROW(iecstatus)-ROW('INFORMATION, ÉDUCTION ET LA COM'!$E$5)+1)),ROWS(K$20:K20))),"")</f>
        <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Des vaccins antirabiques humains pré-qualifiés par l'OMS sont disponibles et accessibles dans la majorité des régions du pays</v>
      </c>
      <c r="O20" s="170" t="str">
        <f t="array" ref="O20">IF(ROWS(O$20:O20)&lt;=$M$22,INDEX('PRÉVENTION ET DE CONTRÔLE'!$C$5:$C$29,SMALL(IF(prevstage=2,IF(prevstatus=1,ROW(prevstatus)-ROW('PRÉVENTION ET DE CONTRÔLE'!$E$5)+1)),ROWS(O$20:O20))),"")</f>
        <v>L’utilisation des produits biologiques humains non pré-qualifiés par l'OMS est abandonné (par exemple des vaccins de tissu nerveux, des vaccins de mauvaise qualité)</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Une stratégie nationale et un programme de prévention de rage, de contrôle et d'élimination éventuelle ont été rédigés et partagés avec toutes les parties prenantes</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90">
      <c r="A21" s="46">
        <f>SUMPRODUCT((STAGE=2)*(STATUS=0))</f>
        <v>1</v>
      </c>
      <c r="B21" s="178" t="str">
        <f t="array" ref="B21">IF(ROWS(B$20:B21)&lt;=$A$21,INDEX(LÉGISLATION!$C$5:$C$19,SMALL(IF(STAGE=2,IF(STATUS=0,ROW(STATUS)-ROW(LÉGISLATION!$E$5)+1)),ROWS(B$20:B21))),"")</f>
        <v/>
      </c>
      <c r="C21" s="173" t="str">
        <f t="array" ref="C21">IF(ROWS(C$20:C21)&lt;=$A$22,INDEX(LÉGISLATION!$C$5:$C$19,SMALL(IF(STAGE=2,IF(STATUS=1,ROW(STATUS)-ROW(LÉGISLATION!$E$5)+1)),ROWS(C$20:C21))),"")</f>
        <v>La définition de cas de rage humaine a été examinée et approuvée (approche intersectorielle)</v>
      </c>
      <c r="D21" s="174">
        <f>SUMPRODUCT((datastage=2)*(datastatus=0))</f>
        <v>2</v>
      </c>
      <c r="E21" s="178" t="str">
        <f t="array" ref="E21">IF(ROWS(E$20:E21)&lt;=$D$21,INDEX('COLLECTE DE DONNÉES ET ANALYSE'!$C$5:$C$22,SMALL(IF(datastage=2,IF(datastatus=0,ROW(datastatus)-ROW('COLLECTE DE DONNÉES ET ANALYSE'!$E$5)+1)),ROWS(E$20:E21))),"")</f>
        <v>Des informations sur l'épidémiologie de la rage sont régulièrement partagées avec toutes les parties prenantes</v>
      </c>
      <c r="F21" s="173" t="str">
        <f t="array" ref="F21">IF(ROWS(F$20:F21)&lt;=$D$22,INDEX('COLLECTE DE DONNÉES ET ANALYSE'!$C$5:$C$22,SMALL(IF(datastage=2,IF(datastatus=1,ROW(datastatus)-ROW('COLLECTE DE DONNÉES ET ANALYSE'!$E$5)+1)),ROWS(F$20:F21))),"")</f>
        <v>Des systèmes de surveillance de rage animale, y compris des mécanismes de rétroaction, sont coordonnés entre les niveaux administratifs (national, province, district, municipal, etc.)</v>
      </c>
      <c r="G21" s="175">
        <f>SUMPRODUCT((labstage=2)*(labstatus=0))</f>
        <v>1</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
      </c>
      <c r="J21" s="175">
        <f>SUMPRODUCT((iecstage=2)*(iecstatus=0))</f>
        <v>0</v>
      </c>
      <c r="K21" s="178" t="str">
        <f t="array" ref="K21">IF(ROWS(K$20:K21)&lt;=$J$21,INDEX('INFORMATION, ÉDUCTION ET LA COM'!$C$5:$C$21,SMALL(IF(iecstage=2,IF(iecstatus=0,ROW(iecstatus)-ROW('INFORMATION, ÉDUCTION ET LA COM'!$E$5)+1)),ROWS(K$20:K21))),"")</f>
        <v/>
      </c>
      <c r="L21" s="173" t="str">
        <f t="array" ref="L21">IF(ROWS(L$20:L21)&lt;=$J$22,INDEX('INFORMATION, ÉDUCTION ET LA COM'!$C$5:$C$21,SMALL(IF(iecstage=2,IF(iecstatus=1,ROW(iecstatus)-ROW('INFORMATION, ÉDUCTION ET LA COM'!$E$5)+1)),ROWS(L$20:L21))),"")</f>
        <v>Le plan de communication de la rage a été examiné et mis à jour</v>
      </c>
      <c r="M21" s="179">
        <f>SUMPRODUCT((prevstage=2)*(prevstatus=0))</f>
        <v>3</v>
      </c>
      <c r="N21" s="176" t="str">
        <f t="array" ref="N21">IF(ROWS(N$20:N21)&lt;=$M$21,INDEX('PRÉVENTION ET DE CONTRÔLE'!$C$5:$C$29,SMALL(IF(prevstage=2,IF(prevstatus=0,ROW(prevstatus)-ROW('PRÉVENTION ET DE CONTRÔLE'!$E$5)+1)),ROWS(N$20:N21))),"")</f>
        <v xml:space="preserve">L’approvisionnement et l’accès des vaccins antirabiques humains, pré-qualifiés par l’OMS pour la PrEP (Prophylaxie Pré-Exposition), est assuré pour les professionnels à risque dans les zones pilotes </v>
      </c>
      <c r="O21" s="177" t="str">
        <f t="array" ref="O21">IF(ROWS(O$20:O21)&lt;=$M$22,INDEX('PRÉVENTION ET DE CONTRÔLE'!$C$5:$C$29,SMALL(IF(prevstage=2,IF(prevstatus=1,ROW(prevstatus)-ROW('PRÉVENTION ET DE CONTRÔLE'!$E$5)+1)),ROWS(O$20:O21))),"")</f>
        <v>Seuls des vaccins canins de qualité selon les standards l’OIE sont utilisées</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2</v>
      </c>
      <c r="T21" s="176" t="str">
        <f t="array" ref="T21">IF(ROWS(T$20:T21)&lt;=$S$21,INDEX('QUESTIONS TRANSVERSALES'!$C$5:$C$16,SMALL(IF(crossstage=2,IF(crossstatus=0,ROW(crossstatus)-ROW('QUESTIONS TRANSVERSALES'!$E$5)+1)),ROWS(T$20:T21))),"")</f>
        <v>Pour favoriser la stratégie et le programme nationaux de lutte contre la rage, les ressources du gouvernement ont été identifiées et allouées</v>
      </c>
      <c r="U21" s="177" t="str">
        <f t="array" ref="U21">IF(ROWS(U$20:U21)&lt;=$S$22,INDEX('QUESTIONS TRANSVERSALES'!$C$5:$C$16,SMALL(IF(crossstage=2,IF(crossstatus=1,ROW(crossstatus)-ROW('QUESTIONS TRANSVERSALES'!$E$5)+1)),ROWS(U$20:U21))),"")</f>
        <v>La contribution et le rôle du secteur privé a été clarifié et partagé avec d'autres parties prenantes</v>
      </c>
      <c r="Z21" s="90"/>
    </row>
    <row r="22" spans="1:26" s="15" customFormat="1" ht="75">
      <c r="A22" s="46">
        <f>SUMPRODUCT((STAGE=2)*(STATUS=1))</f>
        <v>2</v>
      </c>
      <c r="B22" s="178" t="str">
        <f t="array" ref="B22">IF(ROWS(B$20:B22)&lt;=$A$21,INDEX(LÉGISLATION!$C$5:$C$19,SMALL(IF(STAGE=2,IF(STATUS=0,ROW(STATUS)-ROW(LÉGISLATION!$E$5)+1)),ROWS(B$20:B22))),"")</f>
        <v/>
      </c>
      <c r="C22" s="173" t="str">
        <f t="array" ref="C22">IF(ROWS(C$20:C22)&lt;=$A$22,INDEX(LÉGISLATION!$C$5:$C$19,SMALL(IF(STAGE=2,IF(STATUS=1,ROW(STATUS)-ROW(LÉGISLATION!$E$5)+1)),ROWS(C$20:C22))),"")</f>
        <v/>
      </c>
      <c r="D22" s="174">
        <f>SUMPRODUCT((datastage=2)*(datastatus=1))</f>
        <v>2</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
      </c>
      <c r="G22" s="175">
        <f>SUMPRODUCT((labstage=2)*(labstatus=1))</f>
        <v>1</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5</v>
      </c>
      <c r="K22" s="178" t="str">
        <f t="array" ref="K22">IF(ROWS(K$20:K22)&lt;=$J$21,INDEX('INFORMATION, ÉDUCTION ET LA COM'!$C$5:$C$21,SMALL(IF(iecstage=2,IF(iecstatus=0,ROW(iecstatus)-ROW('INFORMATION, ÉDUCTION ET LA COM'!$E$5)+1)),ROWS(K$20:K22))),"")</f>
        <v/>
      </c>
      <c r="L22" s="173" t="str">
        <f t="array" ref="L22">IF(ROWS(L$20:L22)&lt;=$J$22,INDEX('INFORMATION, ÉDUCTION ET LA COM'!$C$5:$C$21,SMALL(IF(iecstage=2,IF(iecstatus=1,ROW(iecstatus)-ROW('INFORMATION, ÉDUCTION ET LA COM'!$E$5)+1)),ROWS(L$20:L22))),"")</f>
        <v>Des campagnes de sensibilisation à la rage, y compris des formations sur la possession responsable de chiens,  ont été étendues à plusieurs zones</v>
      </c>
      <c r="M22" s="179">
        <f>SUMPRODUCT((prevstage=2)*(prevstatus=1))</f>
        <v>4</v>
      </c>
      <c r="N22" s="176" t="str">
        <f t="array" ref="N22">IF(ROWS(N$20:N22)&lt;=$M$21,INDEX('PRÉVENTION ET DE CONTRÔLE'!$C$5:$C$29,SMALL(IF(prevstage=2,IF(prevstatus=0,ROW(prevstatus)-ROW('PRÉVENTION ET DE CONTRÔLE'!$E$5)+1)),ROWS(N$20:N22))),"")</f>
        <v>Des SOPs (Modes opératoires standardisés) de l’IBCM (Integrated Bite Case Management; Gestion intégrée de cas de morsure) sont conclus, y compris le partage d’informations entre les secteurs</v>
      </c>
      <c r="O22" s="177" t="str">
        <f t="array" ref="O22">IF(ROWS(O$20:O22)&lt;=$M$22,INDEX('PRÉVENTION ET DE CONTRÔLE'!$C$5:$C$29,SMALL(IF(prevstage=2,IF(prevstatus=1,ROW(prevstatus)-ROW('PRÉVENTION ET DE CONTRÔLE'!$E$5)+1)),ROWS(O$20:O22))),"")</f>
        <v>Des campagnes de vaccination des chiens sont régulièrement mises en œuvre, en réponse aux cas humains et aux épidémies animales</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2</v>
      </c>
      <c r="T22" s="176" t="str">
        <f t="array" ref="T22">IF(ROWS(T$20:T22)&lt;=$S$21,INDEX('QUESTIONS TRANSVERSALES'!$C$5:$C$16,SMALL(IF(crossstage=2,IF(crossstatus=0,ROW(crossstatus)-ROW('QUESTIONS TRANSVERSALES'!$E$5)+1)),ROWS(T$20:T22))),"")</f>
        <v/>
      </c>
      <c r="U22" s="177" t="str">
        <f t="array" ref="U22">IF(ROWS(U$20:U22)&lt;=$S$22,INDEX('QUESTIONS TRANSVERSALES'!$C$5:$C$16,SMALL(IF(crossstage=2,IF(crossstatus=1,ROW(crossstatus)-ROW('QUESTIONS TRANSVERSALES'!$E$5)+1)),ROWS(U$20:U22))),"")</f>
        <v/>
      </c>
      <c r="Z22" s="90"/>
    </row>
    <row r="23" spans="1:26" s="15" customFormat="1" ht="90">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Des campagnes de sensibilisation de la population ont été adaptées aux groupes cibles spécifiques (par exemple les leaders de la communauté, les autorités, les professionnels de la santé et les activistes de la journée mondiale de la rage)</v>
      </c>
      <c r="M23" s="179"/>
      <c r="N23" s="176" t="str">
        <f t="array" ref="N23">IF(ROWS(N$20:N23)&lt;=$M$21,INDEX('PRÉVENTION ET DE CONTRÔLE'!$C$5:$C$29,SMALL(IF(prevstage=2,IF(prevstatus=0,ROW(prevstatus)-ROW('PRÉVENTION ET DE CONTRÔLE'!$E$5)+1)),ROWS(N$20:N23))),"")</f>
        <v/>
      </c>
      <c r="O23" s="177" t="str">
        <f t="array" ref="O23">IF(ROWS(O$20:O23)&lt;=$M$22,INDEX('PRÉVENTION ET DE CONTRÔLE'!$C$5:$C$29,SMALL(IF(prevstage=2,IF(prevstatus=1,ROW(prevstatus)-ROW('PRÉVENTION ET DE CONTRÔLE'!$E$5)+1)),ROWS(O$20:O23))),"")</f>
        <v>Des SOPs (Modes opératoires standardisés) pour l'observation des chiens responsables d’incidents des morsures sont disponibles</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4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Des formations pour le personnel de la santé humaine et animale ont été réalisées dans la plupart des régions du pays</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90">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Initiation de la collection des données économiques de la santé locale et nationale concernant le contrôle de rage, afin de favoriser les arguments au profit des investissements de la lutte contre la rage</v>
      </c>
      <c r="G29" s="168"/>
      <c r="H29" s="169" t="str">
        <f t="array" ref="H29">IF(ROWS(H$29:H29)&lt;=$G$30,INDEX('DIAGNOSTIC DE LABORATOIRE'!$C$5:$C$15,SMALL(IF(labstage=3,IF(labstatus=0,ROW(labstatus)-ROW('DIAGNOSTIC DE LABORATOIRE'!$E$5)+1)),ROWS(H$29:H29))),"")</f>
        <v>L'accès au diagnostic de laboratoire pour les échantillons d'animaux (et si possible aussi pour les échantillons humains) est possible dans tout le pays</v>
      </c>
      <c r="I29" s="170" t="str">
        <f t="array" ref="I29">IF(ROWS(I$29:I29)&lt;=$G$31,INDEX('DIAGNOSTIC DE LABORATOIRE'!$C$5:$C$15,SMALL(IF(labstage=3,IF(labstatus=1,ROW(labstatus)-ROW('DIAGNOSTIC DE LABORATOIRE'!$F$5)+1)),ROWS(I$29:I29))),"")</f>
        <v/>
      </c>
      <c r="J29" s="168"/>
      <c r="K29" s="165" t="str">
        <f t="array" ref="K29">IF(ROWS(K$29:K29)&lt;=$J$30,INDEX('INFORMATION, ÉDUCTION ET LA COM'!$C$5:$C$21,SMALL(IF(iecstage=3,IF(iecstatus=0,ROW(iecstatus)-ROW('INFORMATION, ÉDUCTION ET LA COM'!$E$5)+1)),ROWS(K$29:K29))),"")</f>
        <v>Déclaration et publication des zones exemptes de rage canine</v>
      </c>
      <c r="L29" s="166" t="str">
        <f t="array" ref="L29">IF(ROWS(L$29:L29)&lt;=$J$31,INDEX('INFORMATION, ÉDUCTION ET LA COM'!$C$5:$C$21,SMALL(IF(iecstage=3,IF(iecstatus=1,ROW(iecstatus)-ROW('INFORMATION, ÉDUCTION ET LA COM'!$E$5)+1)),ROWS(L$29:L29))),"")</f>
        <v>Le plan de communication sur l’élimination de la rage est mise en œuvre</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60">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4</v>
      </c>
      <c r="E30" s="178" t="str">
        <f t="array" ref="E30">IF(ROWS(E$29:E30)&lt;=$D$30,INDEX('COLLECTE DE DONNÉES ET ANALYSE'!$C$5:$C$22,SMALL(IF(datastage=3,IF(datastatus=0,ROW(datastatus)-ROW('COLLECTE DE DONNÉES ET ANALYSE'!$E$5)+1)),ROWS(E$29:E30))),"")</f>
        <v>Des preuves épidémiologiques sont disponibles pour l’exclusion des cas de rage humain causés par les chiens</v>
      </c>
      <c r="F30" s="173" t="str">
        <f t="array" ref="F30">IF(ROWS(F$29:F30)&lt;=$D$31,INDEX('COLLECTE DE DONNÉES ET ANALYSE'!$C$5:$C$22,SMALL(IF(datastage=3,IF(datastatus=1,ROW(datastatus)-ROW('COLLECTE DE DONNÉES ET ANALYSE'!$E$5)+1)),ROWS(F$29:F30))),"")</f>
        <v/>
      </c>
      <c r="G30" s="175">
        <f>SUMPRODUCT((labstage=3)*(labstatus=0))</f>
        <v>2</v>
      </c>
      <c r="H30" s="176" t="str">
        <f t="array" ref="H30">IF(ROWS(H$29:H30)&lt;=$G$30,INDEX('DIAGNOSTIC DE LABORATOIRE'!$C$5:$C$15,SMALL(IF(labstage=3,IF(labstatus=0,ROW(labstatus)-ROW('DIAGNOSTIC DE LABORATOIRE'!$E$5)+1)),ROWS(H$29:H30))),"")</f>
        <v>La caractérisation et l'analyse des variantes et de la circulation du virus rabique sont effectuées régulièrement par un laboratoire national ou international</v>
      </c>
      <c r="I30" s="177" t="str">
        <f t="array" ref="I30">IF(ROWS(I$29:I30)&lt;=$G$31,INDEX('DIAGNOSTIC DE LABORATOIRE'!$C$5:$C$15,SMALL(IF(labstage=3,IF(labstatus=1,ROW(labstatus)-ROW('DIAGNOSTIC DE LABORATOIRE'!$F$5)+1)),ROWS(I$29:I30))),"")</f>
        <v/>
      </c>
      <c r="J30" s="175">
        <f>SUMPRODUCT((iecstage=3)*(iecstatus=0))</f>
        <v>1</v>
      </c>
      <c r="K30" s="178" t="str">
        <f t="array" ref="K30">IF(ROWS(K$29:K30)&lt;=$J$30,INDEX('INFORMATION, ÉDUCTION ET LA COM'!$C$5:$C$21,SMALL(IF(iecstage=3,IF(iecstatus=0,ROW(iecstatus)-ROW('INFORMATION, ÉDUCTION ET LA COM'!$E$5)+1)),ROWS(K$29:K30))),"")</f>
        <v/>
      </c>
      <c r="L30" s="173" t="str">
        <f t="array" ref="L30">IF(ROWS(L$29:L30)&lt;=$J$31,INDEX('INFORMATION, ÉDUCTION ET LA COM'!$C$5:$C$21,SMALL(IF(iecstage=3,IF(iecstatus=1,ROW(iecstatus)-ROW('INFORMATION, ÉDUCTION ET LA COM'!$E$5)+1)),ROWS(L$29:L30))),"")</f>
        <v>Promouvoir une attitude responsable des propriétaires de chiens, accompagné par des campagnes de sensibilisation de la rage</v>
      </c>
      <c r="M30" s="179">
        <f>SUMPRODUCT((prevstage=3)*(prevstatus=0))</f>
        <v>6</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60">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1</v>
      </c>
      <c r="E31" s="178" t="str">
        <f t="array" ref="E31">IF(ROWS(E$29:E31)&lt;=$D$30,INDEX('COLLECTE DE DONNÉES ET ANALYSE'!$C$5:$C$22,SMALL(IF(datastage=3,IF(datastatus=0,ROW(datastatus)-ROW('COLLECTE DE DONNÉES ET ANALYSE'!$E$5)+1)),ROWS(E$29:E31))),"")</f>
        <v>Des analyses et  confirmations en laboratoire concernant les épidémies de rage suspectes dans la population canine sont effectuées sur le terrain</v>
      </c>
      <c r="F31" s="173" t="str">
        <f t="array" ref="F31">IF(ROWS(F$29:F31)&lt;=$D$31,INDEX('COLLECTE DE DONNÉES ET ANALYSE'!$C$5:$C$22,SMALL(IF(datastage=3,IF(datastatus=1,ROW(datastatus)-ROW('COLLECTE DE DONNÉES ET ANALYSE'!$E$5)+1)),ROWS(F$29:F31))),"")</f>
        <v/>
      </c>
      <c r="G31" s="175">
        <f>SUMPRODUCT((labstage=3)*(labstatus=1))</f>
        <v>0</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3</v>
      </c>
      <c r="K31" s="178" t="str">
        <f t="array" ref="K31">IF(ROWS(K$29:K31)&lt;=$J$30,INDEX('INFORMATION, ÉDUCTION ET LA COM'!$C$5:$C$21,SMALL(IF(iecstage=3,IF(iecstatus=0,ROW(iecstatus)-ROW('INFORMATION, ÉDUCTION ET LA COM'!$E$5)+1)),ROWS(K$29:K31))),"")</f>
        <v/>
      </c>
      <c r="L31" s="173" t="str">
        <f t="array" ref="L31">IF(ROWS(L$29:L31)&lt;=$J$31,INDEX('INFORMATION, ÉDUCTION ET LA COM'!$C$5:$C$21,SMALL(IF(iecstage=3,IF(iecstatus=1,ROW(iecstatus)-ROW('INFORMATION, ÉDUCTION ET LA COM'!$E$5)+1)),ROWS(L$29:L31))),"")</f>
        <v>Renforcement des campagnes de sensibilisation publiques des leaders et autorités pour appuyer la vaccination des chiens</v>
      </c>
      <c r="M31" s="179">
        <f>SUMPRODUCT((prevstage=3)*(prevstatus=1))</f>
        <v>0</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60">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Expand health economic studies to support further prioritization within the national rabies control programme</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La capacité à mener des enquêtes de terrain et à répondre aux épidémies de rage animale et humaine à temps est présente dans tout le pays</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75">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Suffisamment d’installations pour les observations des chiens suspects de  rage existent, et elles sont conformes aux réglementations internationales de protection des animaux</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60">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Identification des zones exemptes de rage par l'absence de cas de rage (variante canine) pendant au moins une période de 2 ans</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90">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Maintien des activités de surveillance existantes dans le pays de tous les cas suspects de rage humain</v>
      </c>
      <c r="F38" s="166" t="str">
        <f t="array" ref="F38">IF(ROWS(F$38:F38)&lt;=$D$40,INDEX('COLLECTE DE DONNÉES ET ANALYSE'!$C$5:$C$22,SMALL(IF(datastage=4,IF(datastatus=1,ROW(datastatus)-ROW('COLLECTE DE DONNÉES ET ANALYSE'!$E$5)+1)),ROWS(F$38:F38))),"")</f>
        <v/>
      </c>
      <c r="G38" s="168"/>
      <c r="H38" s="169" t="str">
        <f t="array" ref="H38">IF(ROWS(H$38:H38)&lt;=$G$39,INDEX('DIAGNOSTIC DE LABORATOIRE'!$C$5:$C$15,SMALL(IF(labstage=4,IF(labstatus=0,ROW(labstatus)-ROW('DIAGNOSTIC DE LABORATOIRE'!$E$5)+1)),ROWS(H$38:H38))),"")</f>
        <v>Maintien des activités de surveillance existantes dans le pays, y compris les examens de laboratoire de tous les cas suspects de rage canine</v>
      </c>
      <c r="I38" s="170" t="str">
        <f t="array" ref="I38">IF(ROWS(I$38:I38)&lt;=$G$40,INDEX('DIAGNOSTIC DE LABORATOIRE'!$C$5:$C$15,SMALL(IF(labstage=4,IF(labstatus=1,ROW(labstatus)-ROW('DIAGNOSTIC DE LABORATOIRE'!$F$5)+1)),ROWS(I$38:I38))),"")</f>
        <v>Les données épidémiologiques de la surveillance systématique de tous les animaux (les animaux de travail, le bétail et les animaux sauvage) sont utilisées pour améliorer la stratégie nationale de lutte contre la rage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Les programmes de sensibilisation sont axés sur le maintien de la liberté de la rage canine et la rage humaine transmise par les chiens</v>
      </c>
      <c r="M38" s="171"/>
      <c r="N38" s="169" t="str">
        <f t="array" ref="N38">IF(ROWS(N$38:N38)&lt;=$M$39,INDEX('PRÉVENTION ET DE CONTRÔLE'!$C$5:$C$29,SMALL(IF(prevstage=4,IF(prevstatus=0,ROW(prevstatus)-ROW('PRÉVENTION ET DE CONTRÔLE'!$E$5)+1)),ROWS(N$38:N38))),"")</f>
        <v>Liberté de rage transmise par les chiens durant au moins 2 ans dans tout le pays, prouvé par l'absence de cas de rage canine (variante canine)</v>
      </c>
      <c r="O38" s="170" t="str">
        <f t="array" ref="O38">IF(ROWS(O$38:O38)&lt;=$M$40,INDEX('PRÉVENTION ET DE CONTRÔLE'!$C$5:$C$29,SMALL(IF(prevstage=4,IF(prevstatus=1,ROW(prevstatus)-ROW('PRÉVENTION ET DE CONTRÔLE'!$E$5)+1)),ROWS(O$38:O38))),"")</f>
        <v>Des campagnes de vaccination de chiens sont maintenues dans les zones où la rage canine est toujours présente, et où cela est justifié autrement (par exemple par le risque d'introduction)</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90">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2</v>
      </c>
      <c r="E39" s="178" t="str">
        <f t="array" ref="E39">IF(ROWS(E$38:E39)&lt;=$D$39,INDEX('COLLECTE DE DONNÉES ET ANALYSE'!$C$5:$C$22,SMALL(IF(datastage=4,IF(datastatus=0,ROW(datastatus)-ROW('COLLECTE DE DONNÉES ET ANALYSE'!$E$5)+1)),ROWS(E$38:E39))),"")</f>
        <v>Les données épidémiologiques de la surveillance systématique de tous les animaux (les animaux de travail, le bétail et les animaux sauvage) sont utilisées pour améliorer la stratégie nationale de lutte contre la rage</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1</v>
      </c>
      <c r="K39" s="178" t="str">
        <f t="array" ref="K39">IF(ROWS(K$38:K39)&lt;=$J$39,INDEX('INFORMATION, ÉDUCTION ET LA COM'!$C$5:$C$21,SMALL(IF(iecstage=4,IF(iecstatus=0,ROW(iecstatus)-ROW('INFORMATION, ÉDUCTION ET LA COM'!$E$5)+1)),ROWS(K$38:K39))),"")</f>
        <v/>
      </c>
      <c r="L39" s="173" t="str">
        <f t="array" ref="L39">IF(ROWS(L$38:L39)&lt;=$J$40,INDEX('INFORMATION, ÉDUCTION ET LA COM'!$C$5:$C$21,SMALL(IF(iecstage=4,IF(iecstatus=1,ROW(iecstatus)-ROW('INFORMATION, ÉDUCTION ET LA COM'!$E$5)+1)),ROWS(L$38:L39))),"")</f>
        <v/>
      </c>
      <c r="M39" s="179">
        <f>SUMPRODUCT((prevstage=4)*(prevstatus=0))</f>
        <v>3</v>
      </c>
      <c r="N39" s="176" t="str">
        <f t="array" ref="N39">IF(ROWS(N$38:N39)&lt;=$M$39,INDEX('PRÉVENTION ET DE CONTRÔLE'!$C$5:$C$29,SMALL(IF(prevstage=4,IF(prevstatus=0,ROW(prevstatus)-ROW('PRÉVENTION ET DE CONTRÔLE'!$E$5)+1)),ROWS(N$38:N39))),"")</f>
        <v>Prendre des mesures pour la prévention de la réintroduction de la rage dans les zones exemptes de rage, y compris le dialogue avec les pays voisins.</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75">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0</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1</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1</v>
      </c>
      <c r="N40" s="176" t="str">
        <f t="array" ref="N40">IF(ROWS(N$38:N40)&lt;=$M$39,INDEX('PRÉVENTION ET DE CONTRÔLE'!$C$5:$C$29,SMALL(IF(prevstage=4,IF(prevstatus=0,ROW(prevstatus)-ROW('PRÉVENTION ET DE CONTRÔLE'!$E$5)+1)),ROWS(N$38:N40))),"")</f>
        <v>Intervention d'urgence / plan d'urgence pour tous les cas de rage animale impliquant une variante canine qui ont évolué pendant la préparation de la phase post-élimination</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0">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Maintien des investigations de laboratoire de tous les cas suspects dans les espèces animales domestiques et sauvages dans le pays.</v>
      </c>
      <c r="I47" s="170" t="str">
        <f t="array" ref="I47">IF(ROWS(I$47:I47)&lt;=$G$49,INDEX('DIAGNOSTIC DE LABORATOIRE'!$C$5:$C$15,SMALL(IF(labstage=5,IF(labstatus=1,ROW(labstatus)-ROW('DIAGNOSTIC DE LABORATOIRE'!$F$5)+1)),ROWS(I$47:I47))),"")</f>
        <v/>
      </c>
      <c r="J47" s="168"/>
      <c r="K47" s="165" t="str">
        <f t="array" ref="K47">IF(ROWS(K$47:K47)&lt;=$J$48,INDEX('INFORMATION, ÉDUCTION ET LA COM'!$C$5:$C$21,SMALL(IF(iecstage=5,IF(iecstatus=0,ROW(iecstatus)-ROW('INFORMATION, ÉDUCTION ET LA COM'!$E$5)+1)),ROWS(K$47:K47))),"")</f>
        <v/>
      </c>
      <c r="L47" s="166" t="str">
        <f t="array" ref="L47">IF(ROWS(L$47:L47)&lt;=$J$49,INDEX('INFORMATION, ÉDUCTION ET LA COM'!$C$5:$C$21,SMALL(IF(iecstage=5,IF(iecstatus=1,ROW(iecstatus)-ROW('INFORMATION, ÉDUCTION ET LA COM'!$E$5)+1)),ROWS(L$47:L47))),"")</f>
        <v>Continuation du management de la population canine et des campagnes  de sensibilisation des propriétaires de chien</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Sur la base d'une évaluation des risques, des campagnes de vaccination des chiens sont maintenues si cela est justifié</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30">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1</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0</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2</v>
      </c>
      <c r="N48" s="176" t="str">
        <f t="array" ref="N48">IF(ROWS(N$47:N48)&lt;=$M$48,INDEX('PRÉVENTION ET DE CONTRÔLE'!$C$5:$C$29,SMALL(IF(prevstage=5,IF(prevstatus=0,ROW(prevstatus)-ROW('PRÉVENTION ET DE CONTRÔLE'!$E$5)+1)),ROWS(N$47:N48))),"")</f>
        <v>Maintien de la capacité pour répondre aux épidémies et la réintroduction de la rage</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0</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1</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1</v>
      </c>
      <c r="N49" s="176" t="str">
        <f t="array" ref="N49">IF(ROWS(N$47:N49)&lt;=$M$48,INDEX('PRÉVENTION ET DE CONTRÔLE'!$C$5:$C$29,SMALL(IF(prevstage=5,IF(prevstatus=0,ROW(prevstatus)-ROW('PRÉVENTION ET DE CONTRÔLE'!$E$5)+1)),ROWS(N$47:N49))),"")</f>
        <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B10"/>
  <sheetViews>
    <sheetView workbookViewId="0">
      <selection activeCell="B13" sqref="B13"/>
    </sheetView>
  </sheetViews>
  <sheetFormatPr baseColWidth="10" defaultColWidth="8.83203125" defaultRowHeight="15"/>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D45"/>
  <sheetViews>
    <sheetView workbookViewId="0">
      <selection activeCell="C45" sqref="C45"/>
    </sheetView>
  </sheetViews>
  <sheetFormatPr baseColWidth="10" defaultColWidth="8.83203125" defaultRowHeight="14"/>
  <cols>
    <col min="1" max="2" width="8.83203125" style="89"/>
    <col min="3" max="3" width="144" style="89" bestFit="1" customWidth="1"/>
    <col min="4" max="16384" width="8.83203125" style="89"/>
  </cols>
  <sheetData>
    <row r="1" spans="1:4" ht="15">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xmlns:xlrd2="http://schemas.microsoft.com/office/spreadsheetml/2017/richdata2"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5"/>
  <cols>
    <col min="1" max="1" width="13.164062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xmlns:xlrd2="http://schemas.microsoft.com/office/spreadsheetml/2017/richdata2"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J15"/>
  <sheetViews>
    <sheetView showGridLines="0" tabSelected="1" workbookViewId="0">
      <selection activeCell="F11" sqref="F11:I11"/>
    </sheetView>
  </sheetViews>
  <sheetFormatPr baseColWidth="10" defaultColWidth="8.6640625" defaultRowHeight="15"/>
  <cols>
    <col min="3" max="3" width="3.1640625" style="38" customWidth="1"/>
    <col min="4" max="4" width="7.5" style="38" customWidth="1"/>
    <col min="5" max="5" width="7.33203125" customWidth="1"/>
  </cols>
  <sheetData>
    <row r="4" spans="3:10" ht="26.25" customHeight="1">
      <c r="C4" s="254" t="s">
        <v>403</v>
      </c>
      <c r="D4" s="255"/>
      <c r="E4" s="252" t="s">
        <v>43</v>
      </c>
      <c r="F4" s="252"/>
      <c r="G4" s="252"/>
      <c r="H4" s="252"/>
      <c r="I4" s="252"/>
      <c r="J4" s="56" t="s">
        <v>404</v>
      </c>
    </row>
    <row r="6" spans="3:10" ht="26.25" customHeight="1">
      <c r="C6" s="249" t="s">
        <v>405</v>
      </c>
      <c r="D6" s="249"/>
      <c r="E6" s="250"/>
      <c r="F6" s="256" t="s">
        <v>580</v>
      </c>
      <c r="G6" s="256"/>
      <c r="H6" s="256"/>
      <c r="I6" s="256"/>
    </row>
    <row r="7" spans="3:10" ht="26.25" customHeight="1">
      <c r="D7" s="249" t="s">
        <v>16</v>
      </c>
      <c r="E7" s="250"/>
      <c r="F7" s="257" t="s">
        <v>581</v>
      </c>
      <c r="G7" s="257"/>
      <c r="H7" s="257"/>
      <c r="I7" s="257"/>
    </row>
    <row r="8" spans="3:10" ht="26.25" customHeight="1">
      <c r="D8" s="249" t="s">
        <v>17</v>
      </c>
      <c r="E8" s="250"/>
      <c r="F8" s="257"/>
      <c r="G8" s="257"/>
      <c r="H8" s="257"/>
      <c r="I8" s="257"/>
    </row>
    <row r="9" spans="3:10">
      <c r="E9" s="39"/>
      <c r="F9" s="38"/>
      <c r="G9" s="38"/>
      <c r="H9" s="38"/>
      <c r="I9" s="38"/>
    </row>
    <row r="10" spans="3:10" ht="26.25" customHeight="1">
      <c r="C10" s="249" t="s">
        <v>405</v>
      </c>
      <c r="D10" s="249"/>
      <c r="E10" s="250"/>
      <c r="F10" s="251" t="s">
        <v>582</v>
      </c>
      <c r="G10" s="251"/>
      <c r="H10" s="251"/>
      <c r="I10" s="251"/>
    </row>
    <row r="11" spans="3:10" ht="26.25" customHeight="1">
      <c r="D11" s="249" t="s">
        <v>16</v>
      </c>
      <c r="E11" s="250"/>
      <c r="F11" s="251" t="s">
        <v>583</v>
      </c>
      <c r="G11" s="251"/>
      <c r="H11" s="251"/>
      <c r="I11" s="251"/>
    </row>
    <row r="12" spans="3:10" ht="26.25" customHeight="1">
      <c r="D12" s="249" t="s">
        <v>17</v>
      </c>
      <c r="E12" s="250"/>
      <c r="F12" s="251"/>
      <c r="G12" s="251"/>
      <c r="H12" s="251"/>
      <c r="I12" s="251"/>
    </row>
    <row r="13" spans="3:10">
      <c r="E13" s="39"/>
      <c r="F13" s="38"/>
      <c r="G13" s="38"/>
      <c r="H13" s="38"/>
      <c r="I13" s="38"/>
    </row>
    <row r="14" spans="3:10" ht="26.25" customHeight="1">
      <c r="C14" s="249" t="s">
        <v>406</v>
      </c>
      <c r="D14" s="249"/>
      <c r="E14" s="250"/>
      <c r="F14" s="253">
        <v>42550</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xr:uid="{00000000-0002-0000-0100-000000000000}">
      <formula1>COUNTRY</formula1>
    </dataValidation>
    <dataValidation type="date" showErrorMessage="1" error="Please enter a valid date" sqref="F14:I14" xr:uid="{00000000-0002-0000-0100-000001000000}">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7"/>
  <sheetViews>
    <sheetView workbookViewId="0">
      <selection activeCell="B22" sqref="B22"/>
    </sheetView>
  </sheetViews>
  <sheetFormatPr baseColWidth="10" defaultColWidth="8.6640625" defaultRowHeight="15"/>
  <cols>
    <col min="1" max="1" width="24.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1"/>
  <sheetViews>
    <sheetView showGridLines="0" workbookViewId="0">
      <selection activeCell="E17" sqref="E17"/>
    </sheetView>
  </sheetViews>
  <sheetFormatPr baseColWidth="10" defaultColWidth="8.6640625" defaultRowHeight="15"/>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6">
      <c r="A1" s="10" t="s">
        <v>407</v>
      </c>
    </row>
    <row r="2" spans="1:7">
      <c r="A2" s="2" t="s">
        <v>408</v>
      </c>
    </row>
    <row r="3" spans="1:7">
      <c r="A3" s="2"/>
    </row>
    <row r="4" spans="1:7" s="1" customFormat="1" ht="32">
      <c r="A4" s="31" t="s">
        <v>409</v>
      </c>
      <c r="B4" s="35" t="s">
        <v>13</v>
      </c>
      <c r="C4" s="201" t="s">
        <v>410</v>
      </c>
      <c r="D4" s="41" t="s">
        <v>411</v>
      </c>
      <c r="E4" s="33" t="s">
        <v>1</v>
      </c>
      <c r="F4" s="34" t="s">
        <v>412</v>
      </c>
      <c r="G4" s="62"/>
    </row>
    <row r="5" spans="1:7" s="13" customFormat="1" ht="32">
      <c r="A5" s="119">
        <v>0</v>
      </c>
      <c r="B5" s="258" t="s">
        <v>413</v>
      </c>
      <c r="C5" s="211" t="s">
        <v>420</v>
      </c>
      <c r="D5" s="120"/>
      <c r="E5" s="121">
        <v>1</v>
      </c>
      <c r="F5" s="122"/>
      <c r="G5" s="61"/>
    </row>
    <row r="6" spans="1:7" s="13" customFormat="1" ht="32">
      <c r="A6" s="123">
        <v>1</v>
      </c>
      <c r="B6" s="259"/>
      <c r="C6" s="212" t="s">
        <v>422</v>
      </c>
      <c r="D6" s="213" t="s">
        <v>415</v>
      </c>
      <c r="E6" s="124">
        <v>1</v>
      </c>
      <c r="F6" s="125"/>
      <c r="G6" s="61"/>
    </row>
    <row r="7" spans="1:7" s="13" customFormat="1" ht="32">
      <c r="A7" s="126">
        <v>2</v>
      </c>
      <c r="B7" s="260"/>
      <c r="C7" s="214" t="s">
        <v>423</v>
      </c>
      <c r="D7" s="215" t="s">
        <v>416</v>
      </c>
      <c r="E7" s="127">
        <v>1</v>
      </c>
      <c r="F7" s="128"/>
      <c r="G7" s="61"/>
    </row>
    <row r="8" spans="1:7" s="13" customFormat="1" ht="32">
      <c r="A8" s="119">
        <v>0</v>
      </c>
      <c r="B8" s="258" t="s">
        <v>421</v>
      </c>
      <c r="C8" s="216" t="s">
        <v>426</v>
      </c>
      <c r="D8" s="217"/>
      <c r="E8" s="121">
        <v>1</v>
      </c>
      <c r="F8" s="122"/>
      <c r="G8" s="61"/>
    </row>
    <row r="9" spans="1:7" s="13" customFormat="1" ht="32">
      <c r="A9" s="123">
        <v>1</v>
      </c>
      <c r="B9" s="259"/>
      <c r="C9" s="212" t="s">
        <v>425</v>
      </c>
      <c r="D9" s="218" t="s">
        <v>415</v>
      </c>
      <c r="E9" s="124">
        <v>0</v>
      </c>
      <c r="F9" s="125"/>
      <c r="G9" s="61"/>
    </row>
    <row r="10" spans="1:7" s="13" customFormat="1" ht="32">
      <c r="A10" s="126">
        <v>2</v>
      </c>
      <c r="B10" s="260"/>
      <c r="C10" s="214" t="s">
        <v>424</v>
      </c>
      <c r="D10" s="219" t="s">
        <v>416</v>
      </c>
      <c r="E10" s="127">
        <v>1</v>
      </c>
      <c r="F10" s="128"/>
      <c r="G10" s="61"/>
    </row>
    <row r="11" spans="1:7" s="13" customFormat="1" ht="32">
      <c r="A11" s="119">
        <v>0</v>
      </c>
      <c r="B11" s="261" t="s">
        <v>414</v>
      </c>
      <c r="C11" s="216" t="s">
        <v>427</v>
      </c>
      <c r="D11" s="217" t="s">
        <v>417</v>
      </c>
      <c r="E11" s="121">
        <v>0</v>
      </c>
      <c r="F11" s="122"/>
      <c r="G11" s="61"/>
    </row>
    <row r="12" spans="1:7" s="13" customFormat="1" ht="32">
      <c r="A12" s="123">
        <v>1</v>
      </c>
      <c r="B12" s="262"/>
      <c r="C12" s="212" t="s">
        <v>428</v>
      </c>
      <c r="D12" s="220" t="s">
        <v>418</v>
      </c>
      <c r="E12" s="124">
        <v>1</v>
      </c>
      <c r="F12" s="125"/>
      <c r="G12" s="61"/>
    </row>
    <row r="13" spans="1:7" s="13" customFormat="1" ht="32">
      <c r="A13" s="123">
        <v>1</v>
      </c>
      <c r="B13" s="262"/>
      <c r="C13" s="212" t="s">
        <v>429</v>
      </c>
      <c r="D13" s="220" t="s">
        <v>419</v>
      </c>
      <c r="E13" s="124">
        <v>1</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1</v>
      </c>
      <c r="F15" s="125"/>
      <c r="G15" s="61"/>
    </row>
    <row r="16" spans="1:7" s="13" customFormat="1" ht="32">
      <c r="A16" s="123">
        <v>1</v>
      </c>
      <c r="B16" s="262"/>
      <c r="C16" s="212" t="s">
        <v>432</v>
      </c>
      <c r="D16" s="220"/>
      <c r="E16" s="124">
        <v>0</v>
      </c>
      <c r="F16" s="125"/>
      <c r="G16" s="61"/>
    </row>
    <row r="17" spans="1:7" s="13" customFormat="1" ht="32">
      <c r="A17" s="123">
        <v>1</v>
      </c>
      <c r="B17" s="262"/>
      <c r="C17" s="212" t="s">
        <v>433</v>
      </c>
      <c r="D17" s="220"/>
      <c r="E17" s="124">
        <v>1</v>
      </c>
      <c r="F17" s="125"/>
      <c r="G17" s="61"/>
    </row>
    <row r="18" spans="1:7" s="13" customFormat="1" ht="48">
      <c r="A18" s="123">
        <v>2</v>
      </c>
      <c r="B18" s="262"/>
      <c r="C18" s="222" t="s">
        <v>573</v>
      </c>
      <c r="D18" s="220"/>
      <c r="E18" s="124">
        <v>0</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xr:uid="{00000000-0002-0000-0300-000000000000}">
      <formula1>1</formula1>
    </dataValidation>
    <dataValidation type="whole" operator="lessThanOrEqual" allowBlank="1" showErrorMessage="1" error="Please enter:_x000a_&quot;0&quot; if No or None, or_x000a_&quot;1&quot; if Yes" sqref="E4" xr:uid="{00000000-0002-0000-0300-000001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6"/>
  <sheetViews>
    <sheetView showGridLines="0" topLeftCell="A14" workbookViewId="0">
      <selection activeCell="E21" sqref="E21"/>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6">
      <c r="A1" s="202" t="s">
        <v>435</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ht="16">
      <c r="A5" s="119">
        <v>1</v>
      </c>
      <c r="B5" s="261" t="s">
        <v>2</v>
      </c>
      <c r="C5" s="216" t="s">
        <v>436</v>
      </c>
      <c r="D5" s="225"/>
      <c r="E5" s="121">
        <v>1</v>
      </c>
      <c r="F5" s="122"/>
    </row>
    <row r="6" spans="1:7" ht="32">
      <c r="A6" s="123">
        <v>1</v>
      </c>
      <c r="B6" s="262"/>
      <c r="C6" s="212" t="s">
        <v>437</v>
      </c>
      <c r="D6" s="226"/>
      <c r="E6" s="124">
        <v>1</v>
      </c>
      <c r="F6" s="125"/>
    </row>
    <row r="7" spans="1:7" ht="32">
      <c r="A7" s="123">
        <v>1</v>
      </c>
      <c r="B7" s="262"/>
      <c r="C7" s="212" t="s">
        <v>438</v>
      </c>
      <c r="D7" s="226"/>
      <c r="E7" s="124">
        <v>0</v>
      </c>
      <c r="F7" s="125"/>
    </row>
    <row r="8" spans="1:7" ht="32">
      <c r="A8" s="123">
        <v>1</v>
      </c>
      <c r="B8" s="262"/>
      <c r="C8" s="227" t="s">
        <v>439</v>
      </c>
      <c r="D8" s="226"/>
      <c r="E8" s="124">
        <v>0</v>
      </c>
      <c r="F8" s="125"/>
    </row>
    <row r="9" spans="1:7" ht="32">
      <c r="A9" s="123">
        <v>1</v>
      </c>
      <c r="B9" s="262"/>
      <c r="C9" s="228" t="s">
        <v>440</v>
      </c>
      <c r="D9" s="226"/>
      <c r="E9" s="124">
        <v>1</v>
      </c>
      <c r="F9" s="125"/>
    </row>
    <row r="10" spans="1:7" ht="32">
      <c r="A10" s="123">
        <v>1</v>
      </c>
      <c r="B10" s="262"/>
      <c r="C10" s="227" t="s">
        <v>441</v>
      </c>
      <c r="D10" s="220" t="s">
        <v>454</v>
      </c>
      <c r="E10" s="124">
        <v>0</v>
      </c>
      <c r="F10" s="125"/>
    </row>
    <row r="11" spans="1:7" ht="32">
      <c r="A11" s="123">
        <v>2</v>
      </c>
      <c r="B11" s="262"/>
      <c r="C11" s="227" t="s">
        <v>442</v>
      </c>
      <c r="D11" s="220" t="s">
        <v>455</v>
      </c>
      <c r="E11" s="124">
        <v>1</v>
      </c>
      <c r="F11" s="125"/>
    </row>
    <row r="12" spans="1:7" ht="48">
      <c r="A12" s="123">
        <v>2</v>
      </c>
      <c r="B12" s="262"/>
      <c r="C12" s="227" t="s">
        <v>443</v>
      </c>
      <c r="D12" s="130" t="s">
        <v>456</v>
      </c>
      <c r="E12" s="124">
        <v>0</v>
      </c>
      <c r="F12" s="125"/>
    </row>
    <row r="13" spans="1:7" ht="48">
      <c r="A13" s="123">
        <v>2</v>
      </c>
      <c r="B13" s="262"/>
      <c r="C13" s="227" t="s">
        <v>444</v>
      </c>
      <c r="D13" s="130" t="s">
        <v>456</v>
      </c>
      <c r="E13" s="124">
        <v>1</v>
      </c>
      <c r="F13" s="125"/>
    </row>
    <row r="14" spans="1:7" ht="32">
      <c r="A14" s="123">
        <v>2</v>
      </c>
      <c r="B14" s="262"/>
      <c r="C14" s="227" t="s">
        <v>445</v>
      </c>
      <c r="D14" s="220" t="s">
        <v>457</v>
      </c>
      <c r="E14" s="124">
        <v>0</v>
      </c>
      <c r="F14" s="125"/>
    </row>
    <row r="15" spans="1:7" ht="32">
      <c r="A15" s="123">
        <v>3</v>
      </c>
      <c r="B15" s="262"/>
      <c r="C15" s="227" t="s">
        <v>446</v>
      </c>
      <c r="D15" s="226"/>
      <c r="E15" s="124">
        <v>0</v>
      </c>
      <c r="F15" s="125"/>
    </row>
    <row r="16" spans="1:7" ht="32">
      <c r="A16" s="123">
        <v>3</v>
      </c>
      <c r="B16" s="262"/>
      <c r="C16" s="227" t="s">
        <v>447</v>
      </c>
      <c r="D16" s="226"/>
      <c r="E16" s="124">
        <v>0</v>
      </c>
      <c r="F16" s="125"/>
    </row>
    <row r="17" spans="1:6" ht="48">
      <c r="A17" s="123">
        <v>3</v>
      </c>
      <c r="B17" s="262"/>
      <c r="C17" s="229" t="s">
        <v>448</v>
      </c>
      <c r="D17" s="226"/>
      <c r="E17" s="124">
        <v>0</v>
      </c>
      <c r="F17" s="125"/>
    </row>
    <row r="18" spans="1:6" ht="32">
      <c r="A18" s="123">
        <v>4</v>
      </c>
      <c r="B18" s="262"/>
      <c r="C18" s="227" t="s">
        <v>449</v>
      </c>
      <c r="D18" s="226"/>
      <c r="E18" s="124">
        <v>0</v>
      </c>
      <c r="F18" s="125"/>
    </row>
    <row r="19" spans="1:6" ht="64">
      <c r="A19" s="123">
        <v>4</v>
      </c>
      <c r="B19" s="262"/>
      <c r="C19" s="227" t="s">
        <v>451</v>
      </c>
      <c r="D19" s="226"/>
      <c r="E19" s="124">
        <v>0</v>
      </c>
      <c r="F19" s="125"/>
    </row>
    <row r="20" spans="1:6" ht="16">
      <c r="A20" s="126">
        <v>5</v>
      </c>
      <c r="B20" s="263"/>
      <c r="C20" s="231" t="s">
        <v>452</v>
      </c>
      <c r="D20" s="230"/>
      <c r="E20" s="127">
        <v>1</v>
      </c>
      <c r="F20" s="128"/>
    </row>
    <row r="21" spans="1:6" ht="48">
      <c r="A21" s="119">
        <v>3</v>
      </c>
      <c r="B21" s="261" t="s">
        <v>450</v>
      </c>
      <c r="C21" s="203" t="s">
        <v>453</v>
      </c>
      <c r="D21" s="120"/>
      <c r="E21" s="121">
        <v>1</v>
      </c>
      <c r="F21" s="122"/>
    </row>
    <row r="22" spans="1:6" ht="32">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xr:uid="{00000000-0002-0000-04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showGridLines="0" topLeftCell="A8" workbookViewId="0">
      <selection activeCell="E14" sqref="E14"/>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6">
      <c r="A1" s="10" t="s">
        <v>458</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s="13" customFormat="1" ht="32">
      <c r="A5" s="131">
        <v>0</v>
      </c>
      <c r="B5" s="258" t="s">
        <v>459</v>
      </c>
      <c r="C5" s="232" t="s">
        <v>461</v>
      </c>
      <c r="D5" s="233" t="s">
        <v>473</v>
      </c>
      <c r="E5" s="121">
        <v>1</v>
      </c>
      <c r="F5" s="133"/>
      <c r="G5" s="61"/>
    </row>
    <row r="6" spans="1:7" s="13" customFormat="1" ht="32">
      <c r="A6" s="134">
        <v>0</v>
      </c>
      <c r="B6" s="259"/>
      <c r="C6" s="234" t="s">
        <v>462</v>
      </c>
      <c r="D6" s="130" t="s">
        <v>474</v>
      </c>
      <c r="E6" s="124">
        <v>1</v>
      </c>
      <c r="F6" s="135"/>
      <c r="G6" s="61"/>
    </row>
    <row r="7" spans="1:7" s="13" customFormat="1" ht="48">
      <c r="A7" s="136">
        <v>0</v>
      </c>
      <c r="B7" s="260"/>
      <c r="C7" s="235" t="s">
        <v>463</v>
      </c>
      <c r="D7" s="137" t="s">
        <v>475</v>
      </c>
      <c r="E7" s="127">
        <v>1</v>
      </c>
      <c r="F7" s="138"/>
      <c r="G7" s="61"/>
    </row>
    <row r="8" spans="1:7" s="13" customFormat="1" ht="32">
      <c r="A8" s="131">
        <v>1</v>
      </c>
      <c r="B8" s="261" t="s">
        <v>460</v>
      </c>
      <c r="C8" s="236" t="s">
        <v>472</v>
      </c>
      <c r="D8" s="132"/>
      <c r="E8" s="121">
        <v>0</v>
      </c>
      <c r="F8" s="133"/>
      <c r="G8" s="61"/>
    </row>
    <row r="9" spans="1:7" s="13" customFormat="1" ht="30" customHeight="1">
      <c r="A9" s="134">
        <v>2</v>
      </c>
      <c r="B9" s="262"/>
      <c r="C9" s="227" t="s">
        <v>464</v>
      </c>
      <c r="D9" s="237" t="s">
        <v>470</v>
      </c>
      <c r="E9" s="124">
        <v>0</v>
      </c>
      <c r="F9" s="135"/>
      <c r="G9" s="61"/>
    </row>
    <row r="10" spans="1:7" s="13" customFormat="1" ht="16">
      <c r="A10" s="134">
        <v>2</v>
      </c>
      <c r="B10" s="262"/>
      <c r="C10" s="227" t="s">
        <v>465</v>
      </c>
      <c r="D10" s="140"/>
      <c r="E10" s="124">
        <v>1</v>
      </c>
      <c r="F10" s="135"/>
      <c r="G10" s="61"/>
    </row>
    <row r="11" spans="1:7" s="13" customFormat="1" ht="48">
      <c r="A11" s="134">
        <v>3</v>
      </c>
      <c r="B11" s="262"/>
      <c r="C11" s="227" t="s">
        <v>466</v>
      </c>
      <c r="D11" s="237" t="s">
        <v>470</v>
      </c>
      <c r="E11" s="124">
        <v>0</v>
      </c>
      <c r="F11" s="135"/>
      <c r="G11" s="61"/>
    </row>
    <row r="12" spans="1:7" s="13" customFormat="1" ht="48">
      <c r="A12" s="134">
        <v>3</v>
      </c>
      <c r="B12" s="262"/>
      <c r="C12" s="227" t="s">
        <v>467</v>
      </c>
      <c r="D12" s="238" t="s">
        <v>471</v>
      </c>
      <c r="E12" s="124">
        <v>0</v>
      </c>
      <c r="F12" s="135"/>
      <c r="G12" s="61"/>
    </row>
    <row r="13" spans="1:7" s="13" customFormat="1" ht="32">
      <c r="A13" s="134">
        <v>4</v>
      </c>
      <c r="B13" s="262"/>
      <c r="C13" s="227" t="s">
        <v>468</v>
      </c>
      <c r="D13" s="140"/>
      <c r="E13" s="124">
        <v>0</v>
      </c>
      <c r="F13" s="135"/>
      <c r="G13" s="61"/>
    </row>
    <row r="14" spans="1:7" s="13" customFormat="1" ht="64">
      <c r="A14" s="134">
        <v>4</v>
      </c>
      <c r="B14" s="262"/>
      <c r="C14" s="227" t="s">
        <v>451</v>
      </c>
      <c r="D14" s="141"/>
      <c r="E14" s="124">
        <v>1</v>
      </c>
      <c r="F14" s="135"/>
      <c r="G14" s="61"/>
    </row>
    <row r="15" spans="1:7" s="13" customFormat="1" ht="32">
      <c r="A15" s="136">
        <v>5</v>
      </c>
      <c r="B15" s="263"/>
      <c r="C15" s="231" t="s">
        <v>469</v>
      </c>
      <c r="D15" s="137"/>
      <c r="E15" s="127">
        <v>0</v>
      </c>
      <c r="F15" s="138"/>
      <c r="G15" s="61"/>
    </row>
    <row r="16" spans="1:7">
      <c r="C16" s="3"/>
    </row>
    <row r="17" spans="3:3">
      <c r="C17" s="3"/>
    </row>
  </sheetData>
  <sheetProtection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xr:uid="{00000000-0002-0000-05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1"/>
  <sheetViews>
    <sheetView showGridLines="0" topLeftCell="A13" workbookViewId="0">
      <selection activeCell="E21" sqref="E21"/>
    </sheetView>
  </sheetViews>
  <sheetFormatPr baseColWidth="10" defaultColWidth="8.6640625" defaultRowHeight="15"/>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6">
      <c r="A1" s="10" t="s">
        <v>476</v>
      </c>
      <c r="D1" s="5"/>
    </row>
    <row r="2" spans="1:7">
      <c r="A2" s="2" t="s">
        <v>408</v>
      </c>
      <c r="D2" s="5"/>
    </row>
    <row r="4" spans="1:7" s="42" customFormat="1" ht="32">
      <c r="A4" s="31" t="s">
        <v>409</v>
      </c>
      <c r="B4" s="35" t="s">
        <v>13</v>
      </c>
      <c r="C4" s="32" t="s">
        <v>410</v>
      </c>
      <c r="D4" s="41" t="s">
        <v>411</v>
      </c>
      <c r="E4" s="33" t="s">
        <v>1</v>
      </c>
      <c r="F4" s="34" t="s">
        <v>412</v>
      </c>
      <c r="G4" s="63"/>
    </row>
    <row r="5" spans="1:7" ht="32">
      <c r="A5" s="77">
        <v>2</v>
      </c>
      <c r="B5" s="75" t="s">
        <v>477</v>
      </c>
      <c r="C5" s="242" t="s">
        <v>445</v>
      </c>
      <c r="D5" s="145" t="s">
        <v>457</v>
      </c>
      <c r="E5" s="76">
        <v>1</v>
      </c>
      <c r="F5" s="78"/>
    </row>
    <row r="6" spans="1:7" ht="32">
      <c r="A6" s="142">
        <v>1</v>
      </c>
      <c r="B6" s="264" t="s">
        <v>478</v>
      </c>
      <c r="C6" s="239" t="s">
        <v>481</v>
      </c>
      <c r="D6" s="139"/>
      <c r="E6" s="121">
        <v>1</v>
      </c>
      <c r="F6" s="133"/>
    </row>
    <row r="7" spans="1:7" ht="64">
      <c r="A7" s="143">
        <v>1</v>
      </c>
      <c r="B7" s="265"/>
      <c r="C7" s="243" t="s">
        <v>482</v>
      </c>
      <c r="D7" s="140"/>
      <c r="E7" s="124">
        <v>1</v>
      </c>
      <c r="F7" s="135"/>
    </row>
    <row r="8" spans="1:7" ht="32">
      <c r="A8" s="143">
        <v>1</v>
      </c>
      <c r="B8" s="265"/>
      <c r="C8" s="243" t="s">
        <v>483</v>
      </c>
      <c r="D8" s="240" t="s">
        <v>495</v>
      </c>
      <c r="E8" s="124">
        <v>1</v>
      </c>
      <c r="F8" s="135"/>
    </row>
    <row r="9" spans="1:7" ht="16">
      <c r="A9" s="143">
        <v>2</v>
      </c>
      <c r="B9" s="265"/>
      <c r="C9" s="243" t="s">
        <v>484</v>
      </c>
      <c r="D9" s="240" t="s">
        <v>495</v>
      </c>
      <c r="E9" s="124">
        <v>1</v>
      </c>
      <c r="F9" s="135"/>
    </row>
    <row r="10" spans="1:7" ht="32">
      <c r="A10" s="144">
        <v>3</v>
      </c>
      <c r="B10" s="266"/>
      <c r="C10" s="244" t="s">
        <v>485</v>
      </c>
      <c r="D10" s="241" t="s">
        <v>495</v>
      </c>
      <c r="E10" s="127">
        <v>1</v>
      </c>
      <c r="F10" s="138"/>
    </row>
    <row r="11" spans="1:7" s="19" customFormat="1" ht="45" customHeight="1">
      <c r="A11" s="142">
        <v>1</v>
      </c>
      <c r="B11" s="264" t="s">
        <v>480</v>
      </c>
      <c r="C11" s="233" t="s">
        <v>494</v>
      </c>
      <c r="D11" s="139" t="s">
        <v>496</v>
      </c>
      <c r="E11" s="121">
        <v>1</v>
      </c>
      <c r="F11" s="133"/>
      <c r="G11" s="197"/>
    </row>
    <row r="12" spans="1:7" ht="45" customHeight="1">
      <c r="A12" s="143">
        <v>2</v>
      </c>
      <c r="B12" s="265"/>
      <c r="C12" s="243" t="s">
        <v>486</v>
      </c>
      <c r="D12" s="198" t="s">
        <v>496</v>
      </c>
      <c r="E12" s="124">
        <v>1</v>
      </c>
      <c r="F12" s="135"/>
    </row>
    <row r="13" spans="1:7" ht="64">
      <c r="A13" s="143">
        <v>2</v>
      </c>
      <c r="B13" s="265"/>
      <c r="C13" s="243" t="s">
        <v>572</v>
      </c>
      <c r="D13" s="130" t="s">
        <v>496</v>
      </c>
      <c r="E13" s="124">
        <v>1</v>
      </c>
      <c r="F13" s="135"/>
    </row>
    <row r="14" spans="1:7" ht="16">
      <c r="A14" s="143">
        <v>3</v>
      </c>
      <c r="B14" s="265"/>
      <c r="C14" s="243" t="s">
        <v>434</v>
      </c>
      <c r="D14" s="140" t="s">
        <v>497</v>
      </c>
      <c r="E14" s="124">
        <v>0</v>
      </c>
      <c r="F14" s="135"/>
    </row>
    <row r="15" spans="1:7" ht="32">
      <c r="A15" s="143">
        <v>3</v>
      </c>
      <c r="B15" s="265"/>
      <c r="C15" s="243" t="s">
        <v>487</v>
      </c>
      <c r="D15" s="130" t="s">
        <v>496</v>
      </c>
      <c r="E15" s="124">
        <v>1</v>
      </c>
      <c r="F15" s="135"/>
    </row>
    <row r="16" spans="1:7" ht="32">
      <c r="A16" s="143">
        <v>3</v>
      </c>
      <c r="B16" s="265"/>
      <c r="C16" s="243" t="s">
        <v>488</v>
      </c>
      <c r="D16" s="130" t="s">
        <v>496</v>
      </c>
      <c r="E16" s="124">
        <v>1</v>
      </c>
      <c r="F16" s="135"/>
    </row>
    <row r="17" spans="1:6" ht="32">
      <c r="A17" s="143">
        <v>4</v>
      </c>
      <c r="B17" s="265"/>
      <c r="C17" s="243" t="s">
        <v>489</v>
      </c>
      <c r="D17" s="140" t="s">
        <v>497</v>
      </c>
      <c r="E17" s="124">
        <v>0</v>
      </c>
      <c r="F17" s="135"/>
    </row>
    <row r="18" spans="1:6" ht="32">
      <c r="A18" s="143">
        <v>4</v>
      </c>
      <c r="B18" s="265"/>
      <c r="C18" s="243" t="s">
        <v>490</v>
      </c>
      <c r="D18" s="130" t="s">
        <v>496</v>
      </c>
      <c r="E18" s="124">
        <v>1</v>
      </c>
      <c r="F18" s="135"/>
    </row>
    <row r="19" spans="1:6" ht="32">
      <c r="A19" s="144">
        <v>5</v>
      </c>
      <c r="B19" s="266"/>
      <c r="C19" s="244" t="s">
        <v>491</v>
      </c>
      <c r="D19" s="146" t="s">
        <v>496</v>
      </c>
      <c r="E19" s="127">
        <v>1</v>
      </c>
      <c r="F19" s="138"/>
    </row>
    <row r="20" spans="1:6" ht="32">
      <c r="A20" s="131">
        <v>1</v>
      </c>
      <c r="B20" s="264" t="s">
        <v>479</v>
      </c>
      <c r="C20" s="233" t="s">
        <v>492</v>
      </c>
      <c r="D20" s="139" t="s">
        <v>498</v>
      </c>
      <c r="E20" s="121">
        <v>1</v>
      </c>
      <c r="F20" s="133"/>
    </row>
    <row r="21" spans="1:6" ht="32">
      <c r="A21" s="136">
        <v>2</v>
      </c>
      <c r="B21" s="266"/>
      <c r="C21" s="244" t="s">
        <v>493</v>
      </c>
      <c r="D21" s="146" t="s">
        <v>498</v>
      </c>
      <c r="E21" s="127">
        <v>1</v>
      </c>
      <c r="F21" s="138"/>
    </row>
  </sheetData>
  <sheetProtection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xr:uid="{00000000-0002-0000-06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3"/>
  <sheetViews>
    <sheetView showGridLines="0" topLeftCell="A23" workbookViewId="0">
      <selection activeCell="E24" sqref="E24"/>
    </sheetView>
  </sheetViews>
  <sheetFormatPr baseColWidth="10" defaultColWidth="8.6640625" defaultRowHeight="15"/>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6">
      <c r="A1" s="10" t="s">
        <v>499</v>
      </c>
      <c r="D1" s="157"/>
    </row>
    <row r="2" spans="1:7">
      <c r="A2" s="2" t="s">
        <v>408</v>
      </c>
      <c r="D2" s="157"/>
    </row>
    <row r="4" spans="1:7" s="42" customFormat="1" ht="32">
      <c r="A4" s="31" t="s">
        <v>409</v>
      </c>
      <c r="B4" s="35" t="s">
        <v>13</v>
      </c>
      <c r="C4" s="32" t="s">
        <v>410</v>
      </c>
      <c r="D4" s="41" t="s">
        <v>411</v>
      </c>
      <c r="E4" s="33" t="s">
        <v>1</v>
      </c>
      <c r="F4" s="34" t="s">
        <v>412</v>
      </c>
      <c r="G4" s="63"/>
    </row>
    <row r="5" spans="1:7" s="6" customFormat="1" ht="32">
      <c r="A5" s="119">
        <v>1</v>
      </c>
      <c r="B5" s="267" t="s">
        <v>500</v>
      </c>
      <c r="C5" s="233" t="s">
        <v>503</v>
      </c>
      <c r="D5" s="217"/>
      <c r="E5" s="148">
        <v>1</v>
      </c>
      <c r="F5" s="149"/>
      <c r="G5" s="64"/>
    </row>
    <row r="6" spans="1:7" s="6" customFormat="1" ht="32">
      <c r="A6" s="123">
        <v>1</v>
      </c>
      <c r="B6" s="268"/>
      <c r="C6" s="243" t="s">
        <v>504</v>
      </c>
      <c r="D6" s="220" t="s">
        <v>518</v>
      </c>
      <c r="E6" s="151">
        <v>0</v>
      </c>
      <c r="F6" s="152"/>
      <c r="G6" s="64"/>
    </row>
    <row r="7" spans="1:7" s="6" customFormat="1" ht="32">
      <c r="A7" s="123">
        <v>2</v>
      </c>
      <c r="B7" s="268"/>
      <c r="C7" s="243" t="s">
        <v>505</v>
      </c>
      <c r="D7" s="220" t="s">
        <v>519</v>
      </c>
      <c r="E7" s="151">
        <v>0</v>
      </c>
      <c r="F7" s="152"/>
      <c r="G7" s="64"/>
    </row>
    <row r="8" spans="1:7" s="6" customFormat="1" ht="48">
      <c r="A8" s="123">
        <v>2</v>
      </c>
      <c r="B8" s="268"/>
      <c r="C8" s="243" t="s">
        <v>506</v>
      </c>
      <c r="D8" s="220"/>
      <c r="E8" s="151">
        <v>1</v>
      </c>
      <c r="F8" s="152"/>
      <c r="G8" s="64"/>
    </row>
    <row r="9" spans="1:7" s="6" customFormat="1" ht="48">
      <c r="A9" s="150">
        <v>2</v>
      </c>
      <c r="B9" s="268"/>
      <c r="C9" s="243" t="s">
        <v>507</v>
      </c>
      <c r="D9" s="220"/>
      <c r="E9" s="151">
        <v>0</v>
      </c>
      <c r="F9" s="152"/>
      <c r="G9" s="64"/>
    </row>
    <row r="10" spans="1:7" s="6" customFormat="1" ht="48">
      <c r="A10" s="150">
        <v>3</v>
      </c>
      <c r="B10" s="268"/>
      <c r="C10" s="243" t="s">
        <v>508</v>
      </c>
      <c r="D10" s="220"/>
      <c r="E10" s="151">
        <v>0</v>
      </c>
      <c r="F10" s="152"/>
      <c r="G10" s="64"/>
    </row>
    <row r="11" spans="1:7" s="6" customFormat="1" ht="32">
      <c r="A11" s="156">
        <v>5</v>
      </c>
      <c r="B11" s="268"/>
      <c r="C11" s="244" t="s">
        <v>509</v>
      </c>
      <c r="D11" s="224"/>
      <c r="E11" s="154">
        <v>0</v>
      </c>
      <c r="F11" s="155"/>
      <c r="G11" s="64"/>
    </row>
    <row r="12" spans="1:7" s="6" customFormat="1" ht="16">
      <c r="A12" s="147">
        <v>1</v>
      </c>
      <c r="B12" s="269" t="s">
        <v>501</v>
      </c>
      <c r="C12" s="233" t="s">
        <v>510</v>
      </c>
      <c r="D12" s="132"/>
      <c r="E12" s="148">
        <v>1</v>
      </c>
      <c r="F12" s="149"/>
      <c r="G12" s="64"/>
    </row>
    <row r="13" spans="1:7" s="6" customFormat="1" ht="32">
      <c r="A13" s="150">
        <v>1</v>
      </c>
      <c r="B13" s="270"/>
      <c r="C13" s="243" t="s">
        <v>511</v>
      </c>
      <c r="D13" s="130" t="s">
        <v>497</v>
      </c>
      <c r="E13" s="151">
        <v>1</v>
      </c>
      <c r="F13" s="152"/>
      <c r="G13" s="64"/>
    </row>
    <row r="14" spans="1:7" s="6" customFormat="1" ht="32">
      <c r="A14" s="123">
        <v>2</v>
      </c>
      <c r="B14" s="270"/>
      <c r="C14" s="243" t="s">
        <v>512</v>
      </c>
      <c r="D14" s="130"/>
      <c r="E14" s="151">
        <v>1</v>
      </c>
      <c r="F14" s="152"/>
      <c r="G14" s="64"/>
    </row>
    <row r="15" spans="1:7" s="6" customFormat="1" ht="32">
      <c r="A15" s="123">
        <v>2</v>
      </c>
      <c r="B15" s="270"/>
      <c r="C15" s="243" t="s">
        <v>513</v>
      </c>
      <c r="D15" s="130"/>
      <c r="E15" s="151">
        <v>1</v>
      </c>
      <c r="F15" s="152"/>
      <c r="G15" s="64"/>
    </row>
    <row r="16" spans="1:7" s="6" customFormat="1" ht="48">
      <c r="A16" s="123">
        <v>3</v>
      </c>
      <c r="B16" s="270"/>
      <c r="C16" s="243" t="s">
        <v>514</v>
      </c>
      <c r="D16" s="130"/>
      <c r="E16" s="151">
        <v>0</v>
      </c>
      <c r="F16" s="152"/>
      <c r="G16" s="64"/>
    </row>
    <row r="17" spans="1:7" s="6" customFormat="1" ht="32">
      <c r="A17" s="123">
        <v>3</v>
      </c>
      <c r="B17" s="270"/>
      <c r="C17" s="243" t="s">
        <v>515</v>
      </c>
      <c r="D17" s="130" t="s">
        <v>520</v>
      </c>
      <c r="E17" s="151">
        <v>0</v>
      </c>
      <c r="F17" s="152"/>
      <c r="G17" s="64"/>
    </row>
    <row r="18" spans="1:7" s="6" customFormat="1" ht="48">
      <c r="A18" s="123">
        <v>4</v>
      </c>
      <c r="B18" s="270"/>
      <c r="C18" s="243" t="s">
        <v>516</v>
      </c>
      <c r="D18" s="130"/>
      <c r="E18" s="151">
        <v>1</v>
      </c>
      <c r="F18" s="152"/>
      <c r="G18" s="64"/>
    </row>
    <row r="19" spans="1:7" s="6" customFormat="1" ht="32">
      <c r="A19" s="156">
        <v>5</v>
      </c>
      <c r="B19" s="271"/>
      <c r="C19" s="244" t="s">
        <v>517</v>
      </c>
      <c r="D19" s="248"/>
      <c r="E19" s="154">
        <v>1</v>
      </c>
      <c r="F19" s="155"/>
      <c r="G19" s="64"/>
    </row>
    <row r="20" spans="1:7" s="6" customFormat="1" ht="64">
      <c r="A20" s="147">
        <v>1</v>
      </c>
      <c r="B20" s="269" t="s">
        <v>502</v>
      </c>
      <c r="C20" s="233" t="s">
        <v>521</v>
      </c>
      <c r="D20" s="217"/>
      <c r="E20" s="148">
        <v>0</v>
      </c>
      <c r="F20" s="149"/>
      <c r="G20" s="64"/>
    </row>
    <row r="21" spans="1:7" s="6" customFormat="1" ht="48">
      <c r="A21" s="150">
        <v>2</v>
      </c>
      <c r="B21" s="270"/>
      <c r="C21" s="243" t="s">
        <v>522</v>
      </c>
      <c r="D21" s="245" t="s">
        <v>531</v>
      </c>
      <c r="E21" s="151">
        <v>0</v>
      </c>
      <c r="F21" s="152"/>
      <c r="G21" s="64"/>
    </row>
    <row r="22" spans="1:7" s="6" customFormat="1" ht="32">
      <c r="A22" s="153">
        <v>2</v>
      </c>
      <c r="B22" s="270"/>
      <c r="C22" s="243" t="s">
        <v>523</v>
      </c>
      <c r="D22" s="220"/>
      <c r="E22" s="151">
        <v>1</v>
      </c>
      <c r="F22" s="152"/>
      <c r="G22" s="64"/>
    </row>
    <row r="23" spans="1:7" s="6" customFormat="1" ht="48">
      <c r="A23" s="153">
        <v>3</v>
      </c>
      <c r="B23" s="270"/>
      <c r="C23" s="243" t="s">
        <v>524</v>
      </c>
      <c r="D23" s="220" t="s">
        <v>532</v>
      </c>
      <c r="E23" s="151">
        <v>0</v>
      </c>
      <c r="F23" s="152"/>
      <c r="G23" s="64"/>
    </row>
    <row r="24" spans="1:7" s="6" customFormat="1" ht="48">
      <c r="A24" s="123">
        <v>3</v>
      </c>
      <c r="B24" s="270"/>
      <c r="C24" s="243" t="s">
        <v>525</v>
      </c>
      <c r="D24" s="220" t="s">
        <v>533</v>
      </c>
      <c r="E24" s="151">
        <v>0</v>
      </c>
      <c r="F24" s="152"/>
      <c r="G24" s="64"/>
    </row>
    <row r="25" spans="1:7" s="6" customFormat="1" ht="32">
      <c r="A25" s="123">
        <v>3</v>
      </c>
      <c r="B25" s="270"/>
      <c r="C25" s="243" t="s">
        <v>526</v>
      </c>
      <c r="D25" s="220" t="s">
        <v>534</v>
      </c>
      <c r="E25" s="151">
        <v>0</v>
      </c>
      <c r="F25" s="152"/>
      <c r="G25" s="64"/>
    </row>
    <row r="26" spans="1:7" s="6" customFormat="1" ht="32">
      <c r="A26" s="123">
        <v>4</v>
      </c>
      <c r="B26" s="270"/>
      <c r="C26" s="243" t="s">
        <v>527</v>
      </c>
      <c r="D26" s="220"/>
      <c r="E26" s="151">
        <v>0</v>
      </c>
      <c r="F26" s="152"/>
      <c r="G26" s="64"/>
    </row>
    <row r="27" spans="1:7" s="6" customFormat="1" ht="48">
      <c r="A27" s="123">
        <v>4</v>
      </c>
      <c r="B27" s="270"/>
      <c r="C27" s="243" t="s">
        <v>528</v>
      </c>
      <c r="D27" s="220"/>
      <c r="E27" s="151">
        <v>0</v>
      </c>
      <c r="F27" s="152"/>
      <c r="G27" s="64"/>
    </row>
    <row r="28" spans="1:7" s="6" customFormat="1" ht="48">
      <c r="A28" s="123">
        <v>4</v>
      </c>
      <c r="B28" s="270"/>
      <c r="C28" s="243" t="s">
        <v>529</v>
      </c>
      <c r="D28" s="220"/>
      <c r="E28" s="151">
        <v>0</v>
      </c>
      <c r="F28" s="152"/>
      <c r="G28" s="64"/>
    </row>
    <row r="29" spans="1:7" s="6" customFormat="1" ht="32">
      <c r="A29" s="126">
        <v>5</v>
      </c>
      <c r="B29" s="271"/>
      <c r="C29" s="244" t="s">
        <v>530</v>
      </c>
      <c r="D29" s="224"/>
      <c r="E29" s="154">
        <v>0</v>
      </c>
      <c r="F29" s="155"/>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xr:uid="{00000000-0002-0000-07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6"/>
  <sheetViews>
    <sheetView showGridLines="0" topLeftCell="A9" workbookViewId="0">
      <selection activeCell="C16" sqref="C16"/>
    </sheetView>
  </sheetViews>
  <sheetFormatPr baseColWidth="10" defaultColWidth="8.6640625" defaultRowHeight="15"/>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6">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32">
      <c r="A5" s="162">
        <v>0</v>
      </c>
      <c r="B5" s="261" t="s">
        <v>536</v>
      </c>
      <c r="C5" s="233" t="s">
        <v>539</v>
      </c>
      <c r="D5" s="246" t="s">
        <v>546</v>
      </c>
      <c r="E5" s="193">
        <v>1</v>
      </c>
      <c r="F5" s="194"/>
      <c r="G5" s="73"/>
    </row>
    <row r="6" spans="1:7" ht="32">
      <c r="A6" s="160">
        <v>1</v>
      </c>
      <c r="B6" s="262"/>
      <c r="C6" s="247" t="s">
        <v>540</v>
      </c>
      <c r="D6" s="220" t="s">
        <v>545</v>
      </c>
      <c r="E6" s="124">
        <v>1</v>
      </c>
      <c r="F6" s="125"/>
    </row>
    <row r="7" spans="1:7" ht="16">
      <c r="A7" s="160">
        <v>1</v>
      </c>
      <c r="B7" s="262"/>
      <c r="C7" s="243" t="s">
        <v>541</v>
      </c>
      <c r="D7" s="220"/>
      <c r="E7" s="124">
        <v>1</v>
      </c>
      <c r="F7" s="125"/>
    </row>
    <row r="8" spans="1:7" ht="32">
      <c r="A8" s="123">
        <v>1</v>
      </c>
      <c r="B8" s="262"/>
      <c r="C8" s="243" t="s">
        <v>542</v>
      </c>
      <c r="D8" s="220" t="s">
        <v>547</v>
      </c>
      <c r="E8" s="124">
        <v>1</v>
      </c>
      <c r="F8" s="125"/>
    </row>
    <row r="9" spans="1:7" ht="32">
      <c r="A9" s="160">
        <v>2</v>
      </c>
      <c r="B9" s="262"/>
      <c r="C9" s="243" t="s">
        <v>543</v>
      </c>
      <c r="D9" s="220"/>
      <c r="E9" s="124">
        <v>1</v>
      </c>
      <c r="F9" s="125"/>
    </row>
    <row r="10" spans="1:7" ht="32">
      <c r="A10" s="161">
        <v>2</v>
      </c>
      <c r="B10" s="263"/>
      <c r="C10" s="244" t="s">
        <v>544</v>
      </c>
      <c r="D10" s="224"/>
      <c r="E10" s="127">
        <v>1</v>
      </c>
      <c r="F10" s="128"/>
    </row>
    <row r="11" spans="1:7" ht="48">
      <c r="A11" s="159">
        <v>1</v>
      </c>
      <c r="B11" s="261" t="s">
        <v>538</v>
      </c>
      <c r="C11" s="233" t="s">
        <v>548</v>
      </c>
      <c r="D11" s="217"/>
      <c r="E11" s="121">
        <v>0</v>
      </c>
      <c r="F11" s="122"/>
    </row>
    <row r="12" spans="1:7" ht="32">
      <c r="A12" s="160">
        <v>1</v>
      </c>
      <c r="B12" s="262"/>
      <c r="C12" s="243" t="s">
        <v>549</v>
      </c>
      <c r="D12" s="220"/>
      <c r="E12" s="124">
        <v>0</v>
      </c>
      <c r="F12" s="125"/>
    </row>
    <row r="13" spans="1:7" ht="48">
      <c r="A13" s="163">
        <v>2</v>
      </c>
      <c r="B13" s="262"/>
      <c r="C13" s="243" t="s">
        <v>550</v>
      </c>
      <c r="D13" s="220"/>
      <c r="E13" s="124">
        <v>0</v>
      </c>
      <c r="F13" s="125"/>
    </row>
    <row r="14" spans="1:7" ht="32">
      <c r="A14" s="163">
        <v>2</v>
      </c>
      <c r="B14" s="262"/>
      <c r="C14" s="243" t="s">
        <v>551</v>
      </c>
      <c r="D14" s="220"/>
      <c r="E14" s="124">
        <v>0</v>
      </c>
      <c r="F14" s="125"/>
    </row>
    <row r="15" spans="1:7" ht="16">
      <c r="A15" s="160">
        <v>3</v>
      </c>
      <c r="B15" s="262"/>
      <c r="C15" s="243" t="s">
        <v>552</v>
      </c>
      <c r="D15" s="220"/>
      <c r="E15" s="124">
        <v>0</v>
      </c>
      <c r="F15" s="125"/>
    </row>
    <row r="16" spans="1:7" ht="48">
      <c r="A16" s="161">
        <v>4</v>
      </c>
      <c r="B16" s="263"/>
      <c r="C16" s="244" t="s">
        <v>553</v>
      </c>
      <c r="D16" s="224"/>
      <c r="E16" s="127">
        <v>0</v>
      </c>
      <c r="F16" s="128"/>
    </row>
  </sheetData>
  <sheetProtection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xr:uid="{00000000-0002-0000-08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(Score)'!Print_Area</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2016-06-27T05:29:54Z</cp:lastPrinted>
  <dcterms:created xsi:type="dcterms:W3CDTF">2015-04-17T07:47:18Z</dcterms:created>
  <dcterms:modified xsi:type="dcterms:W3CDTF">2019-12-09T08:13:43Z</dcterms:modified>
</cp:coreProperties>
</file>